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showHorizontalScroll="0" showVerticalScroll="0" showSheetTabs="0" xWindow="480" yWindow="105" windowWidth="15480" windowHeight="7995" tabRatio="328" firstSheet="1"/>
  </bookViews>
  <sheets>
    <sheet name="الفروقات لموظفي البريد السوعودي" sheetId="2" r:id="rId1"/>
    <sheet name="سلم رواتب موظفي ومستخدمي وعمال " sheetId="1" r:id="rId2"/>
  </sheets>
  <definedNames>
    <definedName name="_xlnm.Print_Area" localSheetId="0">'الفروقات لموظفي البريد السوعودي'!$A$1:$S$19</definedName>
    <definedName name="_xlnm.Print_Area" localSheetId="1">'سلم رواتب موظفي ومستخدمي وعمال '!$A$1:$V$19</definedName>
    <definedName name="Z_72AE6789_5EC9_4052_B5F7_0017A43C5393_.wvu.PrintArea" localSheetId="0" hidden="1">'الفروقات لموظفي البريد السوعودي'!$A$1:$T$16</definedName>
    <definedName name="Z_72AE6789_5EC9_4052_B5F7_0017A43C5393_.wvu.PrintArea" localSheetId="1" hidden="1">'سلم رواتب موظفي ومستخدمي وعمال '!$A$1:$T$19</definedName>
    <definedName name="الانتقال_الى_الرواتب">'الفروقات لموظفي البريد السوعودي'!$A$6</definedName>
    <definedName name="تصميم_عيسى_ابراهيم_الملاح" localSheetId="0">'الفروقات لموظفي البريد السوعودي'!$A$1:$T$16</definedName>
    <definedName name="تصميم_عيسى_ابراهيم_الملاح">'سلم رواتب موظفي ومستخدمي وعمال '!$A$1:$T$19</definedName>
  </definedNames>
  <calcPr calcId="125725"/>
</workbook>
</file>

<file path=xl/calcChain.xml><?xml version="1.0" encoding="utf-8"?>
<calcChain xmlns="http://schemas.openxmlformats.org/spreadsheetml/2006/main">
  <c r="B10" i="2"/>
  <c r="S10" s="1"/>
  <c r="C8"/>
  <c r="S7"/>
  <c r="R7"/>
  <c r="Q7"/>
  <c r="P7"/>
  <c r="O7"/>
  <c r="R5"/>
  <c r="B5"/>
  <c r="R4"/>
  <c r="C4"/>
  <c r="D10" l="1"/>
  <c r="F10"/>
  <c r="H10"/>
  <c r="J10"/>
  <c r="L10"/>
  <c r="N10"/>
  <c r="P10"/>
  <c r="R10"/>
  <c r="C11"/>
  <c r="C13"/>
  <c r="D8"/>
  <c r="C9"/>
  <c r="C14" s="1"/>
  <c r="C10"/>
  <c r="E10"/>
  <c r="G10"/>
  <c r="I10"/>
  <c r="K10"/>
  <c r="M10"/>
  <c r="O10"/>
  <c r="Q10"/>
  <c r="C12"/>
  <c r="Q8" i="1"/>
  <c r="P8"/>
  <c r="O8"/>
  <c r="V8"/>
  <c r="U8"/>
  <c r="T8"/>
  <c r="S8"/>
  <c r="D13" i="2" l="1"/>
  <c r="D11"/>
  <c r="D12"/>
  <c r="D9"/>
  <c r="D14" s="1"/>
  <c r="E8"/>
  <c r="C5" i="1"/>
  <c r="S7"/>
  <c r="S6"/>
  <c r="S5"/>
  <c r="S4"/>
  <c r="E6"/>
  <c r="C6"/>
  <c r="C9"/>
  <c r="B6"/>
  <c r="B12"/>
  <c r="R8"/>
  <c r="C15" l="1"/>
  <c r="C14"/>
  <c r="E12" i="2"/>
  <c r="E9"/>
  <c r="E14" s="1"/>
  <c r="F8"/>
  <c r="E13"/>
  <c r="C17" s="1"/>
  <c r="E11"/>
  <c r="V12" i="1"/>
  <c r="U12"/>
  <c r="T12"/>
  <c r="P12"/>
  <c r="Q12"/>
  <c r="O12"/>
  <c r="S12"/>
  <c r="R12"/>
  <c r="J12"/>
  <c r="G12"/>
  <c r="C12"/>
  <c r="K12"/>
  <c r="E12"/>
  <c r="I12"/>
  <c r="M12"/>
  <c r="C11"/>
  <c r="C16"/>
  <c r="D9"/>
  <c r="C10"/>
  <c r="D12"/>
  <c r="F12"/>
  <c r="H12"/>
  <c r="L12"/>
  <c r="N12"/>
  <c r="C13"/>
  <c r="C18" i="2" l="1"/>
  <c r="F13"/>
  <c r="D17" s="1"/>
  <c r="F11"/>
  <c r="F12"/>
  <c r="F9"/>
  <c r="F14" s="1"/>
  <c r="G8"/>
  <c r="C19"/>
  <c r="D15" i="1"/>
  <c r="C18"/>
  <c r="C17" s="1"/>
  <c r="D16"/>
  <c r="D14"/>
  <c r="D11"/>
  <c r="D13"/>
  <c r="D10"/>
  <c r="E9"/>
  <c r="D18" i="2" l="1"/>
  <c r="G12"/>
  <c r="G9"/>
  <c r="G14" s="1"/>
  <c r="H8"/>
  <c r="G13"/>
  <c r="E17" s="1"/>
  <c r="G11"/>
  <c r="D19"/>
  <c r="E15" i="1"/>
  <c r="D18"/>
  <c r="D17" s="1"/>
  <c r="E13"/>
  <c r="E10"/>
  <c r="F9"/>
  <c r="E16"/>
  <c r="E14"/>
  <c r="E11"/>
  <c r="E18" i="2" l="1"/>
  <c r="H13"/>
  <c r="F17" s="1"/>
  <c r="H11"/>
  <c r="F18" s="1"/>
  <c r="H14"/>
  <c r="H12"/>
  <c r="H9"/>
  <c r="I8"/>
  <c r="E19"/>
  <c r="F15" i="1"/>
  <c r="E18"/>
  <c r="E17" s="1"/>
  <c r="F16"/>
  <c r="F14"/>
  <c r="F11"/>
  <c r="F13"/>
  <c r="F10"/>
  <c r="G9"/>
  <c r="I12" i="2" l="1"/>
  <c r="I9"/>
  <c r="I14" s="1"/>
  <c r="J8"/>
  <c r="I13"/>
  <c r="G17" s="1"/>
  <c r="I11"/>
  <c r="G18" s="1"/>
  <c r="F19"/>
  <c r="G15" i="1"/>
  <c r="F18"/>
  <c r="F17" s="1"/>
  <c r="G13"/>
  <c r="G10"/>
  <c r="H9"/>
  <c r="H11" s="1"/>
  <c r="G16"/>
  <c r="G14"/>
  <c r="G11"/>
  <c r="G19" i="2" l="1"/>
  <c r="J13"/>
  <c r="H17" s="1"/>
  <c r="J11"/>
  <c r="J12"/>
  <c r="J9"/>
  <c r="J14" s="1"/>
  <c r="K8"/>
  <c r="H15" i="1"/>
  <c r="G18"/>
  <c r="G17" s="1"/>
  <c r="I9"/>
  <c r="H16"/>
  <c r="H14"/>
  <c r="H13"/>
  <c r="H10"/>
  <c r="H18" i="2" l="1"/>
  <c r="C15"/>
  <c r="K12"/>
  <c r="K9"/>
  <c r="K14" s="1"/>
  <c r="L8"/>
  <c r="K13"/>
  <c r="K11"/>
  <c r="H19"/>
  <c r="I15" i="1"/>
  <c r="H18"/>
  <c r="H17" s="1"/>
  <c r="I13"/>
  <c r="I10"/>
  <c r="J9"/>
  <c r="J16" s="1"/>
  <c r="I16"/>
  <c r="I14"/>
  <c r="I11"/>
  <c r="D15" i="2" l="1"/>
  <c r="L13"/>
  <c r="L11"/>
  <c r="L12"/>
  <c r="L9"/>
  <c r="L14" s="1"/>
  <c r="M8"/>
  <c r="J15" i="1"/>
  <c r="J11"/>
  <c r="I18"/>
  <c r="I17" s="1"/>
  <c r="J14"/>
  <c r="J13"/>
  <c r="J10"/>
  <c r="K9"/>
  <c r="E15" i="2" l="1"/>
  <c r="M12"/>
  <c r="M9"/>
  <c r="M14" s="1"/>
  <c r="N8"/>
  <c r="M13"/>
  <c r="M11"/>
  <c r="K15" i="1"/>
  <c r="J18"/>
  <c r="J17" s="1"/>
  <c r="K13"/>
  <c r="K10"/>
  <c r="L9"/>
  <c r="K16"/>
  <c r="K14"/>
  <c r="K11"/>
  <c r="F15" i="2" l="1"/>
  <c r="N13"/>
  <c r="N11"/>
  <c r="N12"/>
  <c r="N9"/>
  <c r="N14" s="1"/>
  <c r="O8"/>
  <c r="L15" i="1"/>
  <c r="K18"/>
  <c r="K17" s="1"/>
  <c r="L16"/>
  <c r="L14"/>
  <c r="L11"/>
  <c r="L13"/>
  <c r="L10"/>
  <c r="M9"/>
  <c r="M13" s="1"/>
  <c r="G15" i="2" l="1"/>
  <c r="O12"/>
  <c r="O9"/>
  <c r="O14" s="1"/>
  <c r="P8"/>
  <c r="O13"/>
  <c r="O11"/>
  <c r="N9" i="1"/>
  <c r="M15"/>
  <c r="L18"/>
  <c r="L17" s="1"/>
  <c r="M10"/>
  <c r="M16"/>
  <c r="M14"/>
  <c r="M11"/>
  <c r="H15" i="2" l="1"/>
  <c r="P13"/>
  <c r="P11"/>
  <c r="P12"/>
  <c r="P9"/>
  <c r="P14" s="1"/>
  <c r="Q8"/>
  <c r="O9" i="1"/>
  <c r="O14" s="1"/>
  <c r="N15"/>
  <c r="M18"/>
  <c r="M17" s="1"/>
  <c r="N16"/>
  <c r="N14"/>
  <c r="N11"/>
  <c r="N13"/>
  <c r="N10"/>
  <c r="I15" i="2" l="1"/>
  <c r="Q12"/>
  <c r="Q9"/>
  <c r="Q14" s="1"/>
  <c r="R8"/>
  <c r="Q13"/>
  <c r="Q11"/>
  <c r="O13" i="1"/>
  <c r="P9"/>
  <c r="O11"/>
  <c r="O15"/>
  <c r="O10"/>
  <c r="O16"/>
  <c r="N18"/>
  <c r="N17" s="1"/>
  <c r="J15" i="2" l="1"/>
  <c r="R13"/>
  <c r="R11"/>
  <c r="R12"/>
  <c r="R9"/>
  <c r="R14" s="1"/>
  <c r="S8"/>
  <c r="Q9" i="1"/>
  <c r="R9" s="1"/>
  <c r="S9" s="1"/>
  <c r="O18"/>
  <c r="O17" s="1"/>
  <c r="Q16"/>
  <c r="Q13"/>
  <c r="P10"/>
  <c r="P16"/>
  <c r="P14"/>
  <c r="P15"/>
  <c r="P13"/>
  <c r="P11"/>
  <c r="Q10" l="1"/>
  <c r="R15"/>
  <c r="P18"/>
  <c r="Q11"/>
  <c r="Q15"/>
  <c r="Q14"/>
  <c r="K15" i="2"/>
  <c r="S12"/>
  <c r="S9"/>
  <c r="S14" s="1"/>
  <c r="S13"/>
  <c r="S11"/>
  <c r="N15" s="1"/>
  <c r="P17" i="1"/>
  <c r="T9"/>
  <c r="S15"/>
  <c r="Q18" l="1"/>
  <c r="Q17" s="1"/>
  <c r="R15" i="2"/>
  <c r="S15"/>
  <c r="Q15"/>
  <c r="O15"/>
  <c r="P15"/>
  <c r="L15"/>
  <c r="M15"/>
  <c r="U9" i="1"/>
  <c r="T15"/>
  <c r="T13"/>
  <c r="T11"/>
  <c r="T16"/>
  <c r="T14"/>
  <c r="T10"/>
  <c r="R16"/>
  <c r="R14"/>
  <c r="R11"/>
  <c r="R13"/>
  <c r="R10"/>
  <c r="R18" l="1"/>
  <c r="R17" s="1"/>
  <c r="T18"/>
  <c r="T17" s="1"/>
  <c r="U15"/>
  <c r="U16"/>
  <c r="U13"/>
  <c r="U11"/>
  <c r="V9"/>
  <c r="U14"/>
  <c r="U10"/>
  <c r="S13"/>
  <c r="S10"/>
  <c r="S16"/>
  <c r="S14"/>
  <c r="S11"/>
  <c r="U18" l="1"/>
  <c r="U17"/>
  <c r="V14"/>
  <c r="V10"/>
  <c r="V16"/>
  <c r="V15"/>
  <c r="V13"/>
  <c r="V11"/>
  <c r="S18"/>
  <c r="S17" s="1"/>
  <c r="V18" l="1"/>
  <c r="V17" s="1"/>
</calcChain>
</file>

<file path=xl/comments1.xml><?xml version="1.0" encoding="utf-8"?>
<comments xmlns="http://schemas.openxmlformats.org/spreadsheetml/2006/main">
  <authors>
    <author>الكاتب</author>
  </authors>
  <commentList>
    <comment ref="B4" authorId="0">
      <text>
        <r>
          <rPr>
            <b/>
            <sz val="24"/>
            <color indexed="81"/>
            <rFont val="Tahoma"/>
            <family val="2"/>
          </rPr>
          <t>الكاتب:</t>
        </r>
        <r>
          <rPr>
            <sz val="24"/>
            <color indexed="81"/>
            <rFont val="Tahoma"/>
            <family val="2"/>
          </rPr>
          <t xml:space="preserve">
ضع المرتبة في المربع
من 37  حتى  50</t>
        </r>
      </text>
    </comment>
  </commentList>
</comments>
</file>

<file path=xl/comments2.xml><?xml version="1.0" encoding="utf-8"?>
<comments xmlns="http://schemas.openxmlformats.org/spreadsheetml/2006/main">
  <authors>
    <author>الكاتب</author>
  </authors>
  <commentList>
    <comment ref="B5" authorId="0">
      <text>
        <r>
          <rPr>
            <b/>
            <sz val="24"/>
            <color indexed="81"/>
            <rFont val="Tahoma"/>
            <family val="2"/>
          </rPr>
          <t>الكاتب:</t>
        </r>
        <r>
          <rPr>
            <sz val="24"/>
            <color indexed="81"/>
            <rFont val="Tahoma"/>
            <family val="2"/>
          </rPr>
          <t xml:space="preserve">
ضع المرتبة في المربع
من 37  حتى  50</t>
        </r>
      </text>
    </comment>
  </commentList>
</comments>
</file>

<file path=xl/sharedStrings.xml><?xml version="1.0" encoding="utf-8"?>
<sst xmlns="http://schemas.openxmlformats.org/spreadsheetml/2006/main" count="46" uniqueCount="32">
  <si>
    <t xml:space="preserve">مؤسسة البريد السعودي </t>
  </si>
  <si>
    <t>تصميم عيسى ابراهيم الملاح</t>
  </si>
  <si>
    <t>بريد محافظة الاحساء</t>
  </si>
  <si>
    <t>البريد الرسمي</t>
  </si>
  <si>
    <t>المرتبة</t>
  </si>
  <si>
    <t>العلاوة السنوية</t>
  </si>
  <si>
    <t>الدرجة</t>
  </si>
  <si>
    <t>اصل الراتب</t>
  </si>
  <si>
    <t>بدل معيشة</t>
  </si>
  <si>
    <t>بدلات اخرى</t>
  </si>
  <si>
    <t>النقل</t>
  </si>
  <si>
    <t>التقاعد</t>
  </si>
  <si>
    <t>علاوة</t>
  </si>
  <si>
    <t>مكافأة رمضان</t>
  </si>
  <si>
    <t>الراتب مع السكن</t>
  </si>
  <si>
    <t>الراتب كامل</t>
  </si>
  <si>
    <t>بدل سكن</t>
  </si>
  <si>
    <t>eimalah@sp.com.sa</t>
  </si>
  <si>
    <t>بيان رواتب موظفي مؤسسة البريد السعودي مع فروقات التسكين1432هـ</t>
  </si>
  <si>
    <t>الفروقات لكل درجة</t>
  </si>
  <si>
    <t>الاعوام التي تم التسكين الخاطئ</t>
  </si>
  <si>
    <t>1426هـ</t>
  </si>
  <si>
    <t>1427هـ</t>
  </si>
  <si>
    <t>1428هـ</t>
  </si>
  <si>
    <t>1429هـ</t>
  </si>
  <si>
    <t>1430هـ</t>
  </si>
  <si>
    <t>1431هـ</t>
  </si>
  <si>
    <t>فروقات مكافأة رمضان</t>
  </si>
  <si>
    <t>فروقات الرواتب</t>
  </si>
  <si>
    <t>المبلغ المستحق لكل عام</t>
  </si>
  <si>
    <t>الانتقال الى الفروقات</t>
  </si>
  <si>
    <t>الانتقال الى الرواتب</t>
  </si>
</sst>
</file>

<file path=xl/styles.xml><?xml version="1.0" encoding="utf-8"?>
<styleSheet xmlns="http://schemas.openxmlformats.org/spreadsheetml/2006/main">
  <numFmts count="5">
    <numFmt numFmtId="164" formatCode="dddd"/>
    <numFmt numFmtId="165" formatCode="[$-1170401]B2dd\ mmmm\,\ yyyy;@"/>
    <numFmt numFmtId="166" formatCode="[$-2010000]yyyy/mm/dd;@"/>
    <numFmt numFmtId="167" formatCode="[$-F400]h:mm:ss\ AM/PM"/>
    <numFmt numFmtId="168" formatCode="0.0"/>
  </numFmts>
  <fonts count="38"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sz val="16"/>
      <color rgb="FFFF0000"/>
      <name val="Arial"/>
      <family val="2"/>
      <scheme val="minor"/>
    </font>
    <font>
      <sz val="11"/>
      <color theme="1"/>
      <name val="Arial"/>
      <family val="2"/>
      <scheme val="minor"/>
    </font>
    <font>
      <sz val="36"/>
      <color theme="3" tint="0.79998168889431442"/>
      <name val="Traditional Arabic"/>
      <family val="1"/>
    </font>
    <font>
      <b/>
      <sz val="24"/>
      <color indexed="81"/>
      <name val="Tahoma"/>
      <family val="2"/>
    </font>
    <font>
      <sz val="24"/>
      <color indexed="81"/>
      <name val="Tahoma"/>
      <family val="2"/>
    </font>
    <font>
      <b/>
      <sz val="24"/>
      <color theme="1"/>
      <name val="Traditional Arabic"/>
      <family val="1"/>
    </font>
    <font>
      <sz val="20"/>
      <color theme="1"/>
      <name val="Traditional Arabic"/>
      <family val="1"/>
    </font>
    <font>
      <sz val="36"/>
      <color theme="0"/>
      <name val="Traditional Arabic"/>
      <family val="1"/>
    </font>
    <font>
      <sz val="72"/>
      <color theme="3" tint="0.79998168889431442"/>
      <name val="Traditional Arabic"/>
      <family val="1"/>
    </font>
    <font>
      <b/>
      <sz val="28"/>
      <color theme="1"/>
      <name val="Traditional Arabic"/>
      <family val="1"/>
    </font>
    <font>
      <sz val="36"/>
      <color theme="1"/>
      <name val="Traditional Arabic"/>
      <family val="1"/>
    </font>
    <font>
      <u/>
      <sz val="11"/>
      <color theme="10"/>
      <name val="Arial"/>
      <family val="2"/>
    </font>
    <font>
      <u/>
      <sz val="28"/>
      <color theme="10"/>
      <name val="Arial"/>
      <family val="2"/>
    </font>
    <font>
      <sz val="28"/>
      <color theme="0"/>
      <name val="Traditional Arabic"/>
      <family val="1"/>
    </font>
    <font>
      <sz val="20"/>
      <color theme="3" tint="0.79998168889431442"/>
      <name val="Arial"/>
      <family val="2"/>
      <scheme val="minor"/>
    </font>
    <font>
      <sz val="24"/>
      <color theme="3" tint="0.79998168889431442"/>
      <name val="Arial"/>
      <family val="2"/>
      <scheme val="minor"/>
    </font>
    <font>
      <sz val="11"/>
      <color theme="3" tint="0.79998168889431442"/>
      <name val="Arial"/>
      <family val="2"/>
      <scheme val="minor"/>
    </font>
    <font>
      <sz val="28"/>
      <color theme="3" tint="0.79998168889431442"/>
      <name val="Traditional Arabic"/>
      <family val="1"/>
    </font>
    <font>
      <sz val="28"/>
      <color theme="3" tint="0.79998168889431442"/>
      <name val="Arial"/>
      <family val="2"/>
      <scheme val="minor"/>
    </font>
    <font>
      <sz val="26"/>
      <color theme="3" tint="0.79998168889431442"/>
      <name val="Traditional Arabic"/>
      <family val="1"/>
    </font>
    <font>
      <sz val="26"/>
      <color theme="3" tint="0.79998168889431442"/>
      <name val="Arial"/>
      <family val="2"/>
      <scheme val="minor"/>
    </font>
    <font>
      <sz val="44"/>
      <color theme="3" tint="0.79998168889431442"/>
      <name val="Traditional Arabic"/>
      <family val="1"/>
    </font>
    <font>
      <b/>
      <sz val="26"/>
      <color theme="1"/>
      <name val="Traditional Arabic"/>
      <family val="1"/>
    </font>
    <font>
      <b/>
      <sz val="26"/>
      <color theme="1"/>
      <name val="Arial"/>
      <family val="2"/>
      <scheme val="minor"/>
    </font>
    <font>
      <b/>
      <sz val="24"/>
      <color theme="1"/>
      <name val="Arial"/>
      <family val="2"/>
      <scheme val="minor"/>
    </font>
    <font>
      <sz val="20"/>
      <name val="Arial"/>
      <family val="2"/>
      <scheme val="minor"/>
    </font>
    <font>
      <sz val="28"/>
      <color theme="1" tint="4.9989318521683403E-2"/>
      <name val="Arial"/>
      <family val="2"/>
      <scheme val="minor"/>
    </font>
    <font>
      <sz val="28"/>
      <color rgb="FF92D050"/>
      <name val="Arial"/>
      <family val="2"/>
      <scheme val="minor"/>
    </font>
    <font>
      <sz val="20"/>
      <color theme="1"/>
      <name val="Arial"/>
      <family val="2"/>
      <scheme val="minor"/>
    </font>
    <font>
      <sz val="20"/>
      <color theme="0"/>
      <name val="Arial"/>
      <family val="2"/>
      <scheme val="minor"/>
    </font>
    <font>
      <sz val="24"/>
      <color theme="0"/>
      <name val="Arial"/>
      <family val="2"/>
      <scheme val="minor"/>
    </font>
    <font>
      <sz val="11"/>
      <color theme="0"/>
      <name val="Arial"/>
      <family val="2"/>
      <scheme val="minor"/>
    </font>
    <font>
      <sz val="72"/>
      <color theme="0"/>
      <name val="Arial"/>
      <family val="2"/>
      <scheme val="minor"/>
    </font>
    <font>
      <sz val="48"/>
      <color theme="0"/>
      <name val="Arial"/>
      <family val="2"/>
      <scheme val="minor"/>
    </font>
    <font>
      <b/>
      <sz val="26"/>
      <color theme="10"/>
      <name val="Traditional Arabic"/>
      <family val="1"/>
    </font>
    <font>
      <b/>
      <sz val="26"/>
      <color theme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gradientFill degree="90">
        <stop position="0">
          <color theme="0"/>
        </stop>
        <stop position="0.5">
          <color rgb="FF92D050"/>
        </stop>
        <stop position="1">
          <color theme="0"/>
        </stop>
      </gradientFill>
    </fill>
    <fill>
      <gradientFill type="path" left="0.5" right="0.5" top="0.5" bottom="0.5">
        <stop position="0">
          <color theme="0"/>
        </stop>
        <stop position="1">
          <color rgb="FF92D050"/>
        </stop>
      </gradientFill>
    </fill>
    <fill>
      <patternFill patternType="solid">
        <fgColor rgb="FF92D050"/>
        <bgColor auto="1"/>
      </patternFill>
    </fill>
    <fill>
      <patternFill patternType="solid">
        <fgColor rgb="FF92D050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</fills>
  <borders count="66">
    <border>
      <left/>
      <right/>
      <top/>
      <bottom/>
      <diagonal/>
    </border>
    <border>
      <left style="double">
        <color rgb="FF92D050"/>
      </left>
      <right style="hair">
        <color rgb="FF92D050"/>
      </right>
      <top style="double">
        <color rgb="FF92D050"/>
      </top>
      <bottom style="hair">
        <color rgb="FF92D050"/>
      </bottom>
      <diagonal/>
    </border>
    <border>
      <left style="hair">
        <color rgb="FF92D050"/>
      </left>
      <right style="double">
        <color rgb="FF92D050"/>
      </right>
      <top style="double">
        <color rgb="FF92D050"/>
      </top>
      <bottom style="hair">
        <color rgb="FF92D050"/>
      </bottom>
      <diagonal/>
    </border>
    <border>
      <left style="double">
        <color rgb="FF92D050"/>
      </left>
      <right style="hair">
        <color rgb="FF92D050"/>
      </right>
      <top style="hair">
        <color rgb="FF92D050"/>
      </top>
      <bottom style="hair">
        <color rgb="FF92D050"/>
      </bottom>
      <diagonal/>
    </border>
    <border>
      <left style="hair">
        <color rgb="FF92D050"/>
      </left>
      <right style="hair">
        <color rgb="FF92D050"/>
      </right>
      <top style="hair">
        <color rgb="FF92D050"/>
      </top>
      <bottom style="hair">
        <color rgb="FF92D050"/>
      </bottom>
      <diagonal/>
    </border>
    <border>
      <left style="hair">
        <color rgb="FF92D050"/>
      </left>
      <right style="double">
        <color rgb="FF92D050"/>
      </right>
      <top style="hair">
        <color rgb="FF92D050"/>
      </top>
      <bottom style="hair">
        <color rgb="FF92D050"/>
      </bottom>
      <diagonal/>
    </border>
    <border>
      <left style="hair">
        <color rgb="FF92D050"/>
      </left>
      <right style="hair">
        <color rgb="FF92D050"/>
      </right>
      <top style="hair">
        <color rgb="FF92D050"/>
      </top>
      <bottom style="double">
        <color rgb="FF92D050"/>
      </bottom>
      <diagonal/>
    </border>
    <border>
      <left style="hair">
        <color rgb="FF92D050"/>
      </left>
      <right style="double">
        <color rgb="FF92D050"/>
      </right>
      <top style="hair">
        <color rgb="FF92D050"/>
      </top>
      <bottom style="double">
        <color rgb="FF92D050"/>
      </bottom>
      <diagonal/>
    </border>
    <border>
      <left style="hair">
        <color rgb="FF92D050"/>
      </left>
      <right style="hair">
        <color rgb="FF92D050"/>
      </right>
      <top/>
      <bottom style="hair">
        <color rgb="FF92D050"/>
      </bottom>
      <diagonal/>
    </border>
    <border>
      <left style="hair">
        <color rgb="FF92D050"/>
      </left>
      <right style="double">
        <color rgb="FF92D050"/>
      </right>
      <top/>
      <bottom style="hair">
        <color rgb="FF92D050"/>
      </bottom>
      <diagonal/>
    </border>
    <border>
      <left style="hair">
        <color rgb="FF92D050"/>
      </left>
      <right style="hair">
        <color rgb="FF92D050"/>
      </right>
      <top style="double">
        <color rgb="FF92D050"/>
      </top>
      <bottom style="double">
        <color rgb="FF92D050"/>
      </bottom>
      <diagonal/>
    </border>
    <border>
      <left/>
      <right style="hair">
        <color rgb="FF92D050"/>
      </right>
      <top style="double">
        <color rgb="FF92D050"/>
      </top>
      <bottom style="double">
        <color rgb="FF92D050"/>
      </bottom>
      <diagonal/>
    </border>
    <border>
      <left/>
      <right style="hair">
        <color rgb="FF92D050"/>
      </right>
      <top/>
      <bottom style="hair">
        <color rgb="FF92D050"/>
      </bottom>
      <diagonal/>
    </border>
    <border>
      <left/>
      <right style="hair">
        <color rgb="FF92D050"/>
      </right>
      <top style="hair">
        <color rgb="FF92D050"/>
      </top>
      <bottom style="hair">
        <color rgb="FF92D050"/>
      </bottom>
      <diagonal/>
    </border>
    <border>
      <left/>
      <right style="hair">
        <color rgb="FF92D050"/>
      </right>
      <top style="hair">
        <color rgb="FF92D050"/>
      </top>
      <bottom style="double">
        <color rgb="FF92D050"/>
      </bottom>
      <diagonal/>
    </border>
    <border>
      <left/>
      <right/>
      <top/>
      <bottom style="double">
        <color rgb="FF92D050"/>
      </bottom>
      <diagonal/>
    </border>
    <border>
      <left/>
      <right/>
      <top style="hair">
        <color rgb="FF92D050"/>
      </top>
      <bottom style="hair">
        <color rgb="FF92D050"/>
      </bottom>
      <diagonal/>
    </border>
    <border>
      <left style="double">
        <color rgb="FF92D050"/>
      </left>
      <right/>
      <top style="hair">
        <color rgb="FF92D050"/>
      </top>
      <bottom style="hair">
        <color rgb="FF92D050"/>
      </bottom>
      <diagonal/>
    </border>
    <border>
      <left/>
      <right style="double">
        <color rgb="FF92D050"/>
      </right>
      <top style="hair">
        <color rgb="FF92D050"/>
      </top>
      <bottom style="hair">
        <color rgb="FF92D050"/>
      </bottom>
      <diagonal/>
    </border>
    <border>
      <left style="double">
        <color rgb="FF92D050"/>
      </left>
      <right/>
      <top style="hair">
        <color rgb="FF92D050"/>
      </top>
      <bottom style="double">
        <color rgb="FF92D050"/>
      </bottom>
      <diagonal/>
    </border>
    <border>
      <left/>
      <right style="double">
        <color rgb="FF92D050"/>
      </right>
      <top style="hair">
        <color rgb="FF92D050"/>
      </top>
      <bottom style="double">
        <color rgb="FF92D050"/>
      </bottom>
      <diagonal/>
    </border>
    <border>
      <left style="hair">
        <color rgb="FF92D050"/>
      </left>
      <right style="double">
        <color rgb="FF92D050"/>
      </right>
      <top style="double">
        <color rgb="FF92D050"/>
      </top>
      <bottom style="double">
        <color rgb="FF92D050"/>
      </bottom>
      <diagonal/>
    </border>
    <border>
      <left/>
      <right/>
      <top style="double">
        <color rgb="FF92D050"/>
      </top>
      <bottom/>
      <diagonal/>
    </border>
    <border>
      <left style="double">
        <color rgb="FF92D050"/>
      </left>
      <right/>
      <top style="hair">
        <color rgb="FF92D050"/>
      </top>
      <bottom/>
      <diagonal/>
    </border>
    <border>
      <left/>
      <right style="double">
        <color rgb="FF92D050"/>
      </right>
      <top style="hair">
        <color rgb="FF92D050"/>
      </top>
      <bottom/>
      <diagonal/>
    </border>
    <border>
      <left/>
      <right style="hair">
        <color rgb="FF92D050"/>
      </right>
      <top style="hair">
        <color rgb="FF92D050"/>
      </top>
      <bottom/>
      <diagonal/>
    </border>
    <border>
      <left style="hair">
        <color rgb="FF92D050"/>
      </left>
      <right style="hair">
        <color rgb="FF92D050"/>
      </right>
      <top style="hair">
        <color rgb="FF92D050"/>
      </top>
      <bottom/>
      <diagonal/>
    </border>
    <border>
      <left style="hair">
        <color rgb="FF92D050"/>
      </left>
      <right style="double">
        <color rgb="FF92D050"/>
      </right>
      <top style="hair">
        <color rgb="FF92D050"/>
      </top>
      <bottom/>
      <diagonal/>
    </border>
    <border>
      <left/>
      <right style="hair">
        <color rgb="FF92D050"/>
      </right>
      <top style="double">
        <color rgb="FF92D050"/>
      </top>
      <bottom style="hair">
        <color rgb="FF92D050"/>
      </bottom>
      <diagonal/>
    </border>
    <border>
      <left style="hair">
        <color rgb="FF92D050"/>
      </left>
      <right style="hair">
        <color rgb="FF92D050"/>
      </right>
      <top style="double">
        <color rgb="FF92D050"/>
      </top>
      <bottom style="hair">
        <color rgb="FF92D050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rgb="FF92D050"/>
      </left>
      <right style="hair">
        <color auto="1"/>
      </right>
      <top style="medium">
        <color rgb="FF92D050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medium">
        <color rgb="FF92D050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medium">
        <color rgb="FF92D050"/>
      </top>
      <bottom/>
      <diagonal/>
    </border>
    <border>
      <left style="hair">
        <color auto="1"/>
      </left>
      <right style="medium">
        <color rgb="FF92D050"/>
      </right>
      <top style="medium">
        <color rgb="FF92D050"/>
      </top>
      <bottom/>
      <diagonal/>
    </border>
    <border>
      <left style="medium">
        <color rgb="FF92D050"/>
      </left>
      <right style="thin">
        <color rgb="FF92D050"/>
      </right>
      <top style="thin">
        <color auto="1"/>
      </top>
      <bottom style="thin">
        <color rgb="FF92D050"/>
      </bottom>
      <diagonal/>
    </border>
    <border>
      <left style="thin">
        <color rgb="FF92D050"/>
      </left>
      <right style="medium">
        <color rgb="FF92D050"/>
      </right>
      <top style="thin">
        <color auto="1"/>
      </top>
      <bottom style="thin">
        <color rgb="FF92D050"/>
      </bottom>
      <diagonal/>
    </border>
    <border>
      <left style="medium">
        <color rgb="FF92D050"/>
      </left>
      <right style="hair">
        <color auto="1"/>
      </right>
      <top style="medium">
        <color rgb="FF92D050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rgb="FF92D050"/>
      </top>
      <bottom style="hair">
        <color auto="1"/>
      </bottom>
      <diagonal/>
    </border>
    <border>
      <left style="hair">
        <color auto="1"/>
      </left>
      <right style="medium">
        <color rgb="FF92D050"/>
      </right>
      <top style="medium">
        <color rgb="FF92D050"/>
      </top>
      <bottom style="hair">
        <color auto="1"/>
      </bottom>
      <diagonal/>
    </border>
    <border>
      <left style="medium">
        <color rgb="FF92D05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rgb="FF92D050"/>
      </left>
      <right style="medium">
        <color rgb="FF92D050"/>
      </right>
      <top style="thin">
        <color rgb="FF92D050"/>
      </top>
      <bottom style="thin">
        <color rgb="FF92D050"/>
      </bottom>
      <diagonal/>
    </border>
    <border>
      <left style="medium">
        <color rgb="FF92D050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rgb="FF92D050"/>
      </right>
      <top style="hair">
        <color auto="1"/>
      </top>
      <bottom style="hair">
        <color auto="1"/>
      </bottom>
      <diagonal/>
    </border>
    <border>
      <left style="medium">
        <color rgb="FF92D050"/>
      </left>
      <right style="hair">
        <color auto="1"/>
      </right>
      <top style="hair">
        <color auto="1"/>
      </top>
      <bottom style="medium">
        <color rgb="FF92D05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rgb="FF92D050"/>
      </bottom>
      <diagonal/>
    </border>
    <border>
      <left style="hair">
        <color auto="1"/>
      </left>
      <right style="medium">
        <color rgb="FF92D050"/>
      </right>
      <top style="hair">
        <color auto="1"/>
      </top>
      <bottom style="medium">
        <color rgb="FF92D050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rgb="FF92D050"/>
      </bottom>
      <diagonal/>
    </border>
    <border>
      <left/>
      <right/>
      <top/>
      <bottom style="medium">
        <color rgb="FF92D050"/>
      </bottom>
      <diagonal/>
    </border>
    <border>
      <left/>
      <right/>
      <top style="hair">
        <color rgb="FF92D050"/>
      </top>
      <bottom style="double">
        <color rgb="FF92D050"/>
      </bottom>
      <diagonal/>
    </border>
    <border>
      <left style="medium">
        <color rgb="FF92D050"/>
      </left>
      <right style="thin">
        <color rgb="FF92D050"/>
      </right>
      <top style="thin">
        <color rgb="FF92D050"/>
      </top>
      <bottom/>
      <diagonal/>
    </border>
    <border>
      <left style="thin">
        <color rgb="FF92D050"/>
      </left>
      <right style="medium">
        <color rgb="FF92D050"/>
      </right>
      <top style="thin">
        <color rgb="FF92D050"/>
      </top>
      <bottom/>
      <diagonal/>
    </border>
    <border>
      <left style="medium">
        <color rgb="FF92D050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rgb="FF92D050"/>
      </right>
      <top style="hair">
        <color auto="1"/>
      </top>
      <bottom/>
      <diagonal/>
    </border>
    <border>
      <left style="medium">
        <color rgb="FF92D050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rgb="FF92D050"/>
      </bottom>
      <diagonal/>
    </border>
    <border>
      <left style="hair">
        <color auto="1"/>
      </left>
      <right style="medium">
        <color rgb="FF92D050"/>
      </right>
      <top/>
      <bottom style="medium">
        <color rgb="FF92D050"/>
      </bottom>
      <diagonal/>
    </border>
    <border>
      <left style="double">
        <color rgb="FF92D050"/>
      </left>
      <right/>
      <top style="double">
        <color rgb="FF92D050"/>
      </top>
      <bottom style="double">
        <color rgb="FF92D050"/>
      </bottom>
      <diagonal/>
    </border>
    <border>
      <left/>
      <right/>
      <top style="double">
        <color rgb="FF92D050"/>
      </top>
      <bottom style="double">
        <color rgb="FF92D050"/>
      </bottom>
      <diagonal/>
    </border>
    <border>
      <left/>
      <right style="hair">
        <color auto="1"/>
      </right>
      <top style="double">
        <color rgb="FF92D050"/>
      </top>
      <bottom style="double">
        <color rgb="FF92D050"/>
      </bottom>
      <diagonal/>
    </border>
    <border>
      <left/>
      <right style="double">
        <color rgb="FF92D050"/>
      </right>
      <top style="double">
        <color rgb="FF92D050"/>
      </top>
      <bottom style="double">
        <color rgb="FF92D050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38">
    <xf numFmtId="0" fontId="0" fillId="0" borderId="0" xfId="0"/>
    <xf numFmtId="0" fontId="4" fillId="2" borderId="16" xfId="0" applyFont="1" applyFill="1" applyBorder="1" applyAlignment="1" applyProtection="1">
      <alignment horizontal="center" vertical="center" shrinkToFit="1"/>
      <protection locked="0"/>
    </xf>
    <xf numFmtId="9" fontId="11" fillId="3" borderId="18" xfId="0" applyNumberFormat="1" applyFont="1" applyFill="1" applyBorder="1" applyAlignment="1" applyProtection="1">
      <alignment horizontal="right" vertical="center" shrinkToFit="1"/>
    </xf>
    <xf numFmtId="0" fontId="4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vertical="center" shrinkToFit="1"/>
    </xf>
    <xf numFmtId="0" fontId="12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shrinkToFit="1"/>
    </xf>
    <xf numFmtId="0" fontId="4" fillId="2" borderId="0" xfId="0" applyFont="1" applyFill="1" applyBorder="1" applyAlignment="1" applyProtection="1">
      <alignment vertical="center" shrinkToFit="1"/>
    </xf>
    <xf numFmtId="164" fontId="4" fillId="2" borderId="0" xfId="0" applyNumberFormat="1" applyFont="1" applyFill="1" applyAlignment="1" applyProtection="1">
      <alignment vertical="center" shrinkToFit="1"/>
    </xf>
    <xf numFmtId="0" fontId="4" fillId="2" borderId="16" xfId="0" applyFont="1" applyFill="1" applyBorder="1" applyAlignment="1" applyProtection="1">
      <alignment horizontal="right" vertical="center" shrinkToFit="1"/>
    </xf>
    <xf numFmtId="0" fontId="4" fillId="2" borderId="0" xfId="0" applyFont="1" applyFill="1" applyBorder="1" applyAlignment="1" applyProtection="1">
      <alignment shrinkToFit="1"/>
    </xf>
    <xf numFmtId="165" fontId="4" fillId="2" borderId="0" xfId="0" applyNumberFormat="1" applyFont="1" applyFill="1" applyBorder="1" applyAlignment="1" applyProtection="1">
      <alignment vertical="center" shrinkToFit="1"/>
    </xf>
    <xf numFmtId="0" fontId="4" fillId="2" borderId="16" xfId="0" applyFont="1" applyFill="1" applyBorder="1" applyAlignment="1" applyProtection="1">
      <alignment horizontal="right" shrinkToFit="1"/>
    </xf>
    <xf numFmtId="0" fontId="7" fillId="3" borderId="11" xfId="0" applyFont="1" applyFill="1" applyBorder="1" applyAlignment="1" applyProtection="1">
      <alignment horizontal="center" vertical="center" shrinkToFit="1"/>
    </xf>
    <xf numFmtId="0" fontId="7" fillId="3" borderId="10" xfId="0" applyFont="1" applyFill="1" applyBorder="1" applyAlignment="1" applyProtection="1">
      <alignment horizontal="center" vertical="center" shrinkToFit="1"/>
    </xf>
    <xf numFmtId="0" fontId="8" fillId="2" borderId="12" xfId="0" applyFont="1" applyFill="1" applyBorder="1" applyAlignment="1" applyProtection="1">
      <alignment horizontal="right" vertical="center" shrinkToFit="1"/>
    </xf>
    <xf numFmtId="0" fontId="8" fillId="2" borderId="8" xfId="0" applyFont="1" applyFill="1" applyBorder="1" applyAlignment="1" applyProtection="1">
      <alignment horizontal="right" vertical="center" shrinkToFit="1"/>
    </xf>
    <xf numFmtId="0" fontId="8" fillId="2" borderId="9" xfId="0" applyFont="1" applyFill="1" applyBorder="1" applyAlignment="1" applyProtection="1">
      <alignment horizontal="right" vertical="center" shrinkToFit="1"/>
    </xf>
    <xf numFmtId="0" fontId="11" fillId="3" borderId="17" xfId="0" applyFont="1" applyFill="1" applyBorder="1" applyAlignment="1" applyProtection="1">
      <alignment horizontal="right" vertical="center" shrinkToFit="1"/>
    </xf>
    <xf numFmtId="0" fontId="8" fillId="2" borderId="13" xfId="0" applyFont="1" applyFill="1" applyBorder="1" applyAlignment="1" applyProtection="1">
      <alignment horizontal="right" vertical="center" shrinkToFit="1"/>
    </xf>
    <xf numFmtId="0" fontId="8" fillId="2" borderId="4" xfId="0" applyFont="1" applyFill="1" applyBorder="1" applyAlignment="1" applyProtection="1">
      <alignment horizontal="right" vertical="center" shrinkToFit="1"/>
    </xf>
    <xf numFmtId="0" fontId="8" fillId="2" borderId="5" xfId="0" applyFont="1" applyFill="1" applyBorder="1" applyAlignment="1" applyProtection="1">
      <alignment horizontal="right" vertical="center" shrinkToFit="1"/>
    </xf>
    <xf numFmtId="0" fontId="11" fillId="3" borderId="18" xfId="0" applyFont="1" applyFill="1" applyBorder="1" applyAlignment="1" applyProtection="1">
      <alignment horizontal="right" vertical="center" shrinkToFit="1"/>
    </xf>
    <xf numFmtId="0" fontId="8" fillId="2" borderId="14" xfId="0" applyFont="1" applyFill="1" applyBorder="1" applyAlignment="1" applyProtection="1">
      <alignment horizontal="right" vertical="center" shrinkToFit="1"/>
    </xf>
    <xf numFmtId="0" fontId="8" fillId="2" borderId="6" xfId="0" applyFont="1" applyFill="1" applyBorder="1" applyAlignment="1" applyProtection="1">
      <alignment horizontal="right" vertical="center" shrinkToFit="1"/>
    </xf>
    <xf numFmtId="0" fontId="8" fillId="2" borderId="7" xfId="0" applyFont="1" applyFill="1" applyBorder="1" applyAlignment="1" applyProtection="1">
      <alignment horizontal="right" vertical="center" shrinkToFit="1"/>
    </xf>
    <xf numFmtId="0" fontId="9" fillId="2" borderId="0" xfId="0" applyFont="1" applyFill="1" applyBorder="1" applyAlignment="1" applyProtection="1">
      <alignment shrinkToFit="1"/>
    </xf>
    <xf numFmtId="0" fontId="9" fillId="2" borderId="0" xfId="0" applyFont="1" applyFill="1" applyBorder="1" applyAlignment="1" applyProtection="1">
      <alignment horizontal="right" shrinkToFit="1"/>
    </xf>
    <xf numFmtId="0" fontId="9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center" vertical="center" shrinkToFit="1"/>
    </xf>
    <xf numFmtId="0" fontId="7" fillId="3" borderId="21" xfId="0" applyFont="1" applyFill="1" applyBorder="1" applyAlignment="1" applyProtection="1">
      <alignment horizontal="center" vertical="center" shrinkToFit="1"/>
    </xf>
    <xf numFmtId="0" fontId="11" fillId="3" borderId="23" xfId="0" applyFont="1" applyFill="1" applyBorder="1" applyAlignment="1" applyProtection="1">
      <alignment horizontal="right" vertical="center" shrinkToFit="1"/>
    </xf>
    <xf numFmtId="0" fontId="11" fillId="3" borderId="24" xfId="0" applyFont="1" applyFill="1" applyBorder="1" applyAlignment="1" applyProtection="1">
      <alignment horizontal="right" vertical="center" shrinkToFit="1"/>
    </xf>
    <xf numFmtId="0" fontId="8" fillId="2" borderId="25" xfId="0" applyFont="1" applyFill="1" applyBorder="1" applyAlignment="1" applyProtection="1">
      <alignment horizontal="right" vertical="center" shrinkToFit="1"/>
    </xf>
    <xf numFmtId="0" fontId="8" fillId="2" borderId="26" xfId="0" applyFont="1" applyFill="1" applyBorder="1" applyAlignment="1" applyProtection="1">
      <alignment horizontal="right" vertical="center" shrinkToFit="1"/>
    </xf>
    <xf numFmtId="0" fontId="8" fillId="2" borderId="27" xfId="0" applyFont="1" applyFill="1" applyBorder="1" applyAlignment="1" applyProtection="1">
      <alignment horizontal="right" vertical="center" shrinkToFit="1"/>
    </xf>
    <xf numFmtId="168" fontId="8" fillId="2" borderId="28" xfId="0" applyNumberFormat="1" applyFont="1" applyFill="1" applyBorder="1" applyAlignment="1" applyProtection="1">
      <alignment horizontal="right" vertical="center" shrinkToFit="1"/>
    </xf>
    <xf numFmtId="168" fontId="8" fillId="2" borderId="29" xfId="0" applyNumberFormat="1" applyFont="1" applyFill="1" applyBorder="1" applyAlignment="1" applyProtection="1">
      <alignment horizontal="right" vertical="center" shrinkToFit="1"/>
    </xf>
    <xf numFmtId="168" fontId="8" fillId="2" borderId="2" xfId="0" applyNumberFormat="1" applyFont="1" applyFill="1" applyBorder="1" applyAlignment="1" applyProtection="1">
      <alignment horizontal="right" vertical="center" shrinkToFit="1"/>
    </xf>
    <xf numFmtId="9" fontId="11" fillId="3" borderId="18" xfId="0" applyNumberFormat="1" applyFont="1" applyFill="1" applyBorder="1" applyAlignment="1" applyProtection="1">
      <alignment horizontal="right" vertical="center" shrinkToFit="1"/>
      <protection locked="0"/>
    </xf>
    <xf numFmtId="0" fontId="11" fillId="3" borderId="18" xfId="0" applyNumberFormat="1" applyFont="1" applyFill="1" applyBorder="1" applyAlignment="1" applyProtection="1">
      <alignment horizontal="right" vertical="center" shrinkToFit="1"/>
      <protection locked="0"/>
    </xf>
    <xf numFmtId="0" fontId="16" fillId="2" borderId="0" xfId="0" applyFont="1" applyFill="1" applyAlignment="1">
      <alignment shrinkToFit="1"/>
    </xf>
    <xf numFmtId="0" fontId="17" fillId="2" borderId="0" xfId="0" applyFont="1" applyFill="1" applyAlignment="1">
      <alignment shrinkToFit="1"/>
    </xf>
    <xf numFmtId="0" fontId="17" fillId="2" borderId="0" xfId="0" applyFont="1" applyFill="1" applyAlignment="1">
      <alignment horizontal="center" vertical="center"/>
    </xf>
    <xf numFmtId="0" fontId="18" fillId="2" borderId="0" xfId="0" applyFont="1" applyFill="1"/>
    <xf numFmtId="0" fontId="21" fillId="2" borderId="30" xfId="0" applyFont="1" applyFill="1" applyBorder="1" applyAlignment="1">
      <alignment horizontal="right" shrinkToFit="1"/>
    </xf>
    <xf numFmtId="0" fontId="22" fillId="2" borderId="30" xfId="0" applyFont="1" applyFill="1" applyBorder="1" applyAlignment="1" applyProtection="1">
      <alignment horizontal="right" shrinkToFit="1"/>
      <protection locked="0"/>
    </xf>
    <xf numFmtId="0" fontId="16" fillId="2" borderId="0" xfId="0" applyFont="1" applyFill="1" applyBorder="1" applyAlignment="1">
      <alignment shrinkToFit="1"/>
    </xf>
    <xf numFmtId="165" fontId="22" fillId="2" borderId="0" xfId="0" applyNumberFormat="1" applyFont="1" applyFill="1" applyBorder="1" applyAlignment="1">
      <alignment vertical="center" shrinkToFit="1"/>
    </xf>
    <xf numFmtId="0" fontId="21" fillId="2" borderId="30" xfId="0" applyFont="1" applyFill="1" applyBorder="1" applyAlignment="1">
      <alignment shrinkToFit="1"/>
    </xf>
    <xf numFmtId="0" fontId="22" fillId="2" borderId="30" xfId="0" applyFont="1" applyFill="1" applyBorder="1" applyAlignment="1">
      <alignment horizontal="right" shrinkToFit="1"/>
    </xf>
    <xf numFmtId="166" fontId="16" fillId="2" borderId="0" xfId="0" applyNumberFormat="1" applyFont="1" applyFill="1" applyBorder="1" applyAlignment="1">
      <alignment shrinkToFit="1"/>
    </xf>
    <xf numFmtId="0" fontId="17" fillId="2" borderId="0" xfId="0" applyFont="1" applyFill="1" applyBorder="1" applyAlignment="1">
      <alignment horizontal="center" vertical="center"/>
    </xf>
    <xf numFmtId="0" fontId="24" fillId="5" borderId="32" xfId="0" applyFont="1" applyFill="1" applyBorder="1" applyAlignment="1">
      <alignment vertical="center" shrinkToFit="1"/>
    </xf>
    <xf numFmtId="0" fontId="25" fillId="5" borderId="33" xfId="0" applyFont="1" applyFill="1" applyBorder="1" applyAlignment="1">
      <alignment vertical="center" shrinkToFit="1"/>
    </xf>
    <xf numFmtId="0" fontId="26" fillId="5" borderId="34" xfId="0" applyFont="1" applyFill="1" applyBorder="1" applyAlignment="1">
      <alignment horizontal="center" shrinkToFit="1"/>
    </xf>
    <xf numFmtId="0" fontId="26" fillId="5" borderId="35" xfId="0" applyFont="1" applyFill="1" applyBorder="1" applyAlignment="1">
      <alignment horizontal="center" shrinkToFit="1"/>
    </xf>
    <xf numFmtId="0" fontId="24" fillId="5" borderId="36" xfId="0" applyFont="1" applyFill="1" applyBorder="1" applyAlignment="1">
      <alignment vertical="center" shrinkToFit="1"/>
    </xf>
    <xf numFmtId="0" fontId="25" fillId="5" borderId="37" xfId="0" applyFont="1" applyFill="1" applyBorder="1" applyAlignment="1">
      <alignment vertical="center" shrinkToFit="1"/>
    </xf>
    <xf numFmtId="0" fontId="27" fillId="2" borderId="38" xfId="0" applyFont="1" applyFill="1" applyBorder="1" applyAlignment="1">
      <alignment horizontal="right" shrinkToFit="1"/>
    </xf>
    <xf numFmtId="0" fontId="27" fillId="2" borderId="39" xfId="0" applyFont="1" applyFill="1" applyBorder="1" applyAlignment="1">
      <alignment horizontal="right" shrinkToFit="1"/>
    </xf>
    <xf numFmtId="0" fontId="27" fillId="2" borderId="40" xfId="0" applyFont="1" applyFill="1" applyBorder="1" applyAlignment="1">
      <alignment horizontal="right" shrinkToFit="1"/>
    </xf>
    <xf numFmtId="0" fontId="24" fillId="5" borderId="41" xfId="0" applyFont="1" applyFill="1" applyBorder="1" applyAlignment="1">
      <alignment vertical="center" shrinkToFit="1"/>
    </xf>
    <xf numFmtId="9" fontId="25" fillId="5" borderId="42" xfId="0" applyNumberFormat="1" applyFont="1" applyFill="1" applyBorder="1" applyAlignment="1" applyProtection="1">
      <alignment vertical="center" shrinkToFit="1"/>
    </xf>
    <xf numFmtId="0" fontId="27" fillId="2" borderId="43" xfId="0" applyFont="1" applyFill="1" applyBorder="1" applyAlignment="1">
      <alignment horizontal="right" shrinkToFit="1"/>
    </xf>
    <xf numFmtId="0" fontId="27" fillId="2" borderId="44" xfId="0" applyFont="1" applyFill="1" applyBorder="1" applyAlignment="1">
      <alignment horizontal="right" shrinkToFit="1"/>
    </xf>
    <xf numFmtId="0" fontId="27" fillId="2" borderId="45" xfId="0" applyFont="1" applyFill="1" applyBorder="1" applyAlignment="1">
      <alignment horizontal="right" shrinkToFit="1"/>
    </xf>
    <xf numFmtId="0" fontId="25" fillId="5" borderId="42" xfId="0" applyFont="1" applyFill="1" applyBorder="1" applyAlignment="1">
      <alignment vertical="center" shrinkToFit="1"/>
    </xf>
    <xf numFmtId="9" fontId="25" fillId="5" borderId="42" xfId="0" applyNumberFormat="1" applyFont="1" applyFill="1" applyBorder="1" applyAlignment="1">
      <alignment vertical="center" shrinkToFit="1"/>
    </xf>
    <xf numFmtId="0" fontId="27" fillId="2" borderId="0" xfId="0" applyFont="1" applyFill="1" applyBorder="1" applyAlignment="1">
      <alignment horizontal="right" shrinkToFit="1"/>
    </xf>
    <xf numFmtId="0" fontId="20" fillId="2" borderId="0" xfId="0" applyFont="1" applyFill="1" applyBorder="1" applyAlignment="1">
      <alignment shrinkToFit="1"/>
    </xf>
    <xf numFmtId="0" fontId="20" fillId="2" borderId="0" xfId="0" applyFont="1" applyFill="1" applyAlignment="1">
      <alignment horizontal="center" vertical="center"/>
    </xf>
    <xf numFmtId="0" fontId="20" fillId="2" borderId="0" xfId="0" applyFont="1" applyFill="1"/>
    <xf numFmtId="0" fontId="31" fillId="2" borderId="0" xfId="0" applyFont="1" applyFill="1" applyBorder="1" applyAlignment="1">
      <alignment shrinkToFit="1"/>
    </xf>
    <xf numFmtId="0" fontId="32" fillId="2" borderId="0" xfId="0" applyFont="1" applyFill="1" applyAlignment="1">
      <alignment horizontal="center" vertical="center"/>
    </xf>
    <xf numFmtId="0" fontId="33" fillId="2" borderId="0" xfId="0" applyFont="1" applyFill="1"/>
    <xf numFmtId="0" fontId="31" fillId="2" borderId="38" xfId="0" applyFont="1" applyFill="1" applyBorder="1" applyAlignment="1">
      <alignment horizontal="center" vertical="center" shrinkToFit="1"/>
    </xf>
    <xf numFmtId="0" fontId="31" fillId="2" borderId="39" xfId="0" applyFont="1" applyFill="1" applyBorder="1" applyAlignment="1">
      <alignment horizontal="center" vertical="center" shrinkToFit="1"/>
    </xf>
    <xf numFmtId="0" fontId="31" fillId="2" borderId="40" xfId="0" applyFont="1" applyFill="1" applyBorder="1" applyAlignment="1">
      <alignment horizontal="center" vertical="center" shrinkToFit="1"/>
    </xf>
    <xf numFmtId="0" fontId="35" fillId="2" borderId="0" xfId="0" applyFont="1" applyFill="1" applyBorder="1" applyAlignment="1">
      <alignment horizontal="center" shrinkToFit="1"/>
    </xf>
    <xf numFmtId="0" fontId="31" fillId="2" borderId="43" xfId="0" applyFont="1" applyFill="1" applyBorder="1" applyAlignment="1">
      <alignment horizontal="center" vertical="center" shrinkToFit="1"/>
    </xf>
    <xf numFmtId="0" fontId="31" fillId="2" borderId="44" xfId="0" applyFont="1" applyFill="1" applyBorder="1" applyAlignment="1">
      <alignment horizontal="center" vertical="center" shrinkToFit="1"/>
    </xf>
    <xf numFmtId="0" fontId="31" fillId="2" borderId="45" xfId="0" applyFont="1" applyFill="1" applyBorder="1" applyAlignment="1">
      <alignment horizontal="center" vertical="center" shrinkToFit="1"/>
    </xf>
    <xf numFmtId="0" fontId="31" fillId="2" borderId="46" xfId="0" applyFont="1" applyFill="1" applyBorder="1" applyAlignment="1">
      <alignment horizontal="center" vertical="center" shrinkToFit="1"/>
    </xf>
    <xf numFmtId="0" fontId="31" fillId="2" borderId="47" xfId="0" applyFont="1" applyFill="1" applyBorder="1" applyAlignment="1">
      <alignment horizontal="center" vertical="center" shrinkToFit="1"/>
    </xf>
    <xf numFmtId="0" fontId="31" fillId="2" borderId="48" xfId="0" applyFont="1" applyFill="1" applyBorder="1" applyAlignment="1">
      <alignment horizontal="center" vertical="center" shrinkToFit="1"/>
    </xf>
    <xf numFmtId="0" fontId="31" fillId="2" borderId="0" xfId="0" applyFont="1" applyFill="1" applyBorder="1" applyAlignment="1">
      <alignment horizontal="right" shrinkToFit="1"/>
    </xf>
    <xf numFmtId="0" fontId="16" fillId="2" borderId="0" xfId="0" applyFont="1" applyFill="1" applyAlignment="1">
      <alignment horizontal="right" shrinkToFit="1"/>
    </xf>
    <xf numFmtId="0" fontId="24" fillId="5" borderId="53" xfId="0" applyFont="1" applyFill="1" applyBorder="1" applyAlignment="1">
      <alignment vertical="center" shrinkToFit="1"/>
    </xf>
    <xf numFmtId="0" fontId="25" fillId="5" borderId="54" xfId="0" applyFont="1" applyFill="1" applyBorder="1" applyAlignment="1">
      <alignment vertical="center" shrinkToFit="1"/>
    </xf>
    <xf numFmtId="0" fontId="27" fillId="2" borderId="55" xfId="0" applyFont="1" applyFill="1" applyBorder="1" applyAlignment="1">
      <alignment horizontal="right" shrinkToFit="1"/>
    </xf>
    <xf numFmtId="0" fontId="27" fillId="2" borderId="56" xfId="0" applyFont="1" applyFill="1" applyBorder="1" applyAlignment="1">
      <alignment horizontal="right" shrinkToFit="1"/>
    </xf>
    <xf numFmtId="0" fontId="27" fillId="2" borderId="57" xfId="0" applyFont="1" applyFill="1" applyBorder="1" applyAlignment="1">
      <alignment horizontal="right" shrinkToFit="1"/>
    </xf>
    <xf numFmtId="0" fontId="30" fillId="6" borderId="60" xfId="0" applyFont="1" applyFill="1" applyBorder="1" applyAlignment="1">
      <alignment horizontal="center" vertical="center" shrinkToFit="1"/>
    </xf>
    <xf numFmtId="0" fontId="30" fillId="6" borderId="61" xfId="0" applyFont="1" applyFill="1" applyBorder="1" applyAlignment="1">
      <alignment horizontal="center" vertical="center" shrinkToFit="1"/>
    </xf>
    <xf numFmtId="0" fontId="28" fillId="6" borderId="64" xfId="0" applyFont="1" applyFill="1" applyBorder="1" applyAlignment="1">
      <alignment horizontal="center" vertical="center" shrinkToFit="1"/>
    </xf>
    <xf numFmtId="0" fontId="29" fillId="6" borderId="64" xfId="0" applyFont="1" applyFill="1" applyBorder="1" applyAlignment="1">
      <alignment horizontal="center" vertical="center" shrinkToFit="1"/>
    </xf>
    <xf numFmtId="0" fontId="29" fillId="6" borderId="65" xfId="0" applyFont="1" applyFill="1" applyBorder="1" applyAlignment="1">
      <alignment horizontal="center" vertical="center" shrinkToFit="1"/>
    </xf>
    <xf numFmtId="0" fontId="21" fillId="2" borderId="0" xfId="0" applyFont="1" applyFill="1" applyBorder="1" applyAlignment="1">
      <alignment horizontal="right" shrinkToFit="1"/>
    </xf>
    <xf numFmtId="165" fontId="22" fillId="2" borderId="30" xfId="0" applyNumberFormat="1" applyFont="1" applyFill="1" applyBorder="1" applyAlignment="1">
      <alignment horizontal="center" vertical="center" shrinkToFit="1"/>
    </xf>
    <xf numFmtId="0" fontId="37" fillId="7" borderId="51" xfId="6" applyFont="1" applyFill="1" applyBorder="1" applyAlignment="1" applyProtection="1">
      <alignment horizontal="center" vertical="center" shrinkToFit="1"/>
    </xf>
    <xf numFmtId="0" fontId="4" fillId="2" borderId="0" xfId="0" applyFont="1" applyFill="1" applyAlignment="1">
      <alignment horizontal="center" vertical="center" shrinkToFit="1"/>
    </xf>
    <xf numFmtId="0" fontId="4" fillId="2" borderId="0" xfId="0" applyFont="1" applyFill="1" applyAlignment="1">
      <alignment horizontal="center" shrinkToFit="1"/>
    </xf>
    <xf numFmtId="0" fontId="19" fillId="2" borderId="0" xfId="0" applyFont="1" applyFill="1" applyAlignment="1">
      <alignment horizontal="center" shrinkToFit="1"/>
    </xf>
    <xf numFmtId="0" fontId="20" fillId="2" borderId="0" xfId="0" applyFont="1" applyFill="1" applyAlignment="1">
      <alignment horizontal="center" wrapText="1" shrinkToFit="1"/>
    </xf>
    <xf numFmtId="166" fontId="22" fillId="2" borderId="30" xfId="0" applyNumberFormat="1" applyFont="1" applyFill="1" applyBorder="1" applyAlignment="1">
      <alignment horizontal="center" vertical="center" shrinkToFit="1"/>
    </xf>
    <xf numFmtId="167" fontId="22" fillId="2" borderId="31" xfId="0" applyNumberFormat="1" applyFont="1" applyFill="1" applyBorder="1" applyAlignment="1" applyProtection="1">
      <alignment horizontal="center" vertical="center" shrinkToFit="1"/>
      <protection locked="0"/>
    </xf>
    <xf numFmtId="0" fontId="23" fillId="2" borderId="0" xfId="0" applyFont="1" applyFill="1" applyBorder="1" applyAlignment="1">
      <alignment horizontal="center" shrinkToFit="1"/>
    </xf>
    <xf numFmtId="0" fontId="11" fillId="5" borderId="62" xfId="0" applyFont="1" applyFill="1" applyBorder="1" applyAlignment="1">
      <alignment horizontal="center" vertical="center" shrinkToFit="1"/>
    </xf>
    <xf numFmtId="0" fontId="11" fillId="5" borderId="63" xfId="0" applyFont="1" applyFill="1" applyBorder="1" applyAlignment="1">
      <alignment horizontal="center" vertical="center" shrinkToFit="1"/>
    </xf>
    <xf numFmtId="0" fontId="8" fillId="6" borderId="58" xfId="0" applyFont="1" applyFill="1" applyBorder="1" applyAlignment="1">
      <alignment vertical="center" shrinkToFit="1"/>
    </xf>
    <xf numFmtId="0" fontId="8" fillId="6" borderId="59" xfId="0" applyFont="1" applyFill="1" applyBorder="1" applyAlignment="1">
      <alignment vertical="center" shrinkToFit="1"/>
    </xf>
    <xf numFmtId="0" fontId="12" fillId="2" borderId="0" xfId="0" applyFont="1" applyFill="1" applyBorder="1" applyAlignment="1">
      <alignment horizontal="center" vertical="center" shrinkToFit="1"/>
    </xf>
    <xf numFmtId="0" fontId="8" fillId="6" borderId="43" xfId="0" applyFont="1" applyFill="1" applyBorder="1" applyAlignment="1">
      <alignment vertical="center" shrinkToFit="1"/>
    </xf>
    <xf numFmtId="0" fontId="8" fillId="6" borderId="49" xfId="0" applyFont="1" applyFill="1" applyBorder="1" applyAlignment="1">
      <alignment vertical="center" shrinkToFit="1"/>
    </xf>
    <xf numFmtId="0" fontId="34" fillId="2" borderId="0" xfId="0" applyFont="1" applyFill="1" applyBorder="1" applyAlignment="1">
      <alignment horizontal="center" vertical="center" shrinkToFit="1"/>
    </xf>
    <xf numFmtId="0" fontId="8" fillId="6" borderId="46" xfId="0" applyFont="1" applyFill="1" applyBorder="1" applyAlignment="1">
      <alignment vertical="center" shrinkToFit="1"/>
    </xf>
    <xf numFmtId="0" fontId="8" fillId="6" borderId="50" xfId="0" applyFont="1" applyFill="1" applyBorder="1" applyAlignment="1">
      <alignment vertical="center" shrinkToFit="1"/>
    </xf>
    <xf numFmtId="0" fontId="4" fillId="2" borderId="16" xfId="0" applyFont="1" applyFill="1" applyBorder="1" applyAlignment="1" applyProtection="1">
      <alignment horizontal="center" vertical="center" shrinkToFit="1"/>
    </xf>
    <xf numFmtId="165" fontId="4" fillId="2" borderId="16" xfId="0" applyNumberFormat="1" applyFont="1" applyFill="1" applyBorder="1" applyAlignment="1" applyProtection="1">
      <alignment horizontal="center" vertical="center" shrinkToFit="1"/>
    </xf>
    <xf numFmtId="166" fontId="4" fillId="2" borderId="16" xfId="0" applyNumberFormat="1" applyFont="1" applyFill="1" applyBorder="1" applyAlignment="1" applyProtection="1">
      <alignment horizontal="center" vertical="center" shrinkToFit="1"/>
    </xf>
    <xf numFmtId="0" fontId="4" fillId="2" borderId="0" xfId="0" applyFont="1" applyFill="1" applyAlignment="1" applyProtection="1">
      <alignment horizontal="center" vertical="center" shrinkToFit="1"/>
    </xf>
    <xf numFmtId="164" fontId="4" fillId="2" borderId="0" xfId="0" applyNumberFormat="1" applyFont="1" applyFill="1" applyAlignment="1" applyProtection="1">
      <alignment horizontal="center" vertical="center" shrinkToFit="1"/>
    </xf>
    <xf numFmtId="0" fontId="4" fillId="2" borderId="0" xfId="0" applyFont="1" applyFill="1" applyAlignment="1" applyProtection="1">
      <alignment horizontal="center" shrinkToFit="1"/>
    </xf>
    <xf numFmtId="0" fontId="14" fillId="4" borderId="22" xfId="6" applyFont="1" applyFill="1" applyBorder="1" applyAlignment="1" applyProtection="1">
      <alignment horizontal="center" vertical="center" shrinkToFit="1"/>
    </xf>
    <xf numFmtId="0" fontId="15" fillId="4" borderId="22" xfId="0" applyFont="1" applyFill="1" applyBorder="1" applyAlignment="1" applyProtection="1">
      <alignment horizontal="center" vertical="center" shrinkToFit="1"/>
    </xf>
    <xf numFmtId="0" fontId="11" fillId="3" borderId="19" xfId="0" applyFont="1" applyFill="1" applyBorder="1" applyAlignment="1" applyProtection="1">
      <alignment horizontal="right" vertical="center" shrinkToFit="1"/>
    </xf>
    <xf numFmtId="0" fontId="11" fillId="3" borderId="20" xfId="0" applyFont="1" applyFill="1" applyBorder="1" applyAlignment="1" applyProtection="1">
      <alignment horizontal="right" vertical="center" shrinkToFit="1"/>
    </xf>
    <xf numFmtId="0" fontId="11" fillId="3" borderId="1" xfId="0" applyFont="1" applyFill="1" applyBorder="1" applyAlignment="1" applyProtection="1">
      <alignment horizontal="right" vertical="center" shrinkToFit="1"/>
    </xf>
    <xf numFmtId="0" fontId="11" fillId="3" borderId="2" xfId="0" applyFont="1" applyFill="1" applyBorder="1" applyAlignment="1" applyProtection="1">
      <alignment horizontal="right" vertical="center" shrinkToFit="1"/>
    </xf>
    <xf numFmtId="0" fontId="11" fillId="3" borderId="3" xfId="0" applyFont="1" applyFill="1" applyBorder="1" applyAlignment="1" applyProtection="1">
      <alignment horizontal="right" vertical="center" shrinkToFit="1"/>
    </xf>
    <xf numFmtId="0" fontId="11" fillId="3" borderId="5" xfId="0" applyFont="1" applyFill="1" applyBorder="1" applyAlignment="1" applyProtection="1">
      <alignment horizontal="right" vertical="center" shrinkToFit="1"/>
    </xf>
    <xf numFmtId="167" fontId="4" fillId="2" borderId="15" xfId="0" applyNumberFormat="1" applyFont="1" applyFill="1" applyBorder="1" applyAlignment="1" applyProtection="1">
      <alignment horizontal="center" vertical="center" shrinkToFit="1"/>
    </xf>
    <xf numFmtId="0" fontId="10" fillId="2" borderId="0" xfId="0" applyFont="1" applyFill="1" applyBorder="1" applyAlignment="1" applyProtection="1">
      <alignment horizontal="center" vertical="center" shrinkToFit="1"/>
    </xf>
    <xf numFmtId="0" fontId="10" fillId="2" borderId="15" xfId="0" applyFont="1" applyFill="1" applyBorder="1" applyAlignment="1" applyProtection="1">
      <alignment horizontal="center" vertical="center" shrinkToFit="1"/>
    </xf>
    <xf numFmtId="0" fontId="7" fillId="3" borderId="1" xfId="0" applyFont="1" applyFill="1" applyBorder="1" applyAlignment="1" applyProtection="1">
      <alignment horizontal="center" vertical="center" shrinkToFit="1"/>
    </xf>
    <xf numFmtId="0" fontId="7" fillId="3" borderId="2" xfId="0" applyFont="1" applyFill="1" applyBorder="1" applyAlignment="1" applyProtection="1">
      <alignment horizontal="center" vertical="center" shrinkToFit="1"/>
    </xf>
    <xf numFmtId="0" fontId="36" fillId="7" borderId="52" xfId="6" applyFont="1" applyFill="1" applyBorder="1" applyAlignment="1" applyProtection="1">
      <alignment horizontal="center" vertical="center" shrinkToFit="1"/>
    </xf>
  </cellXfs>
  <cellStyles count="7">
    <cellStyle name="Hyperlink" xfId="6" builtinId="8"/>
    <cellStyle name="Normal" xfId="0" builtinId="0"/>
    <cellStyle name="Normal 2" xfId="1"/>
    <cellStyle name="Normal 2 2" xfId="2"/>
    <cellStyle name="Normal 3" xfId="3"/>
    <cellStyle name="Normal 4" xfId="4"/>
    <cellStyle name="Normal 5" xfId="5"/>
  </cellStyles>
  <dxfs count="11">
    <dxf>
      <font>
        <color theme="0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1"/>
      </font>
    </dxf>
    <dxf>
      <font>
        <color theme="1"/>
      </font>
    </dxf>
    <dxf>
      <font>
        <color theme="0"/>
      </font>
    </dxf>
    <dxf>
      <font>
        <color theme="1"/>
      </font>
    </dxf>
    <dxf>
      <font>
        <color theme="1"/>
      </font>
    </dxf>
    <dxf>
      <font>
        <color theme="4" tint="0.7999816888943144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377031</xdr:colOff>
      <xdr:row>0</xdr:row>
      <xdr:rowOff>86513</xdr:rowOff>
    </xdr:from>
    <xdr:to>
      <xdr:col>14</xdr:col>
      <xdr:colOff>992160</xdr:colOff>
      <xdr:row>4</xdr:row>
      <xdr:rowOff>277812</xdr:rowOff>
    </xdr:to>
    <xdr:pic>
      <xdr:nvPicPr>
        <xdr:cNvPr id="2" name="صورة 1" descr="سعار البريد السعودي.jpg"/>
        <xdr:cNvPicPr>
          <a:picLocks noChangeAspect="1"/>
        </xdr:cNvPicPr>
      </xdr:nvPicPr>
      <xdr:blipFill>
        <a:blip xmlns:r="http://schemas.openxmlformats.org/officeDocument/2006/relationships" r:embed="rId1" cstate="print">
          <a:lum bright="-30000"/>
        </a:blip>
        <a:stretch>
          <a:fillRect/>
        </a:stretch>
      </xdr:blipFill>
      <xdr:spPr>
        <a:xfrm>
          <a:off x="11370250496" y="86513"/>
          <a:ext cx="11747473" cy="1659737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  <xdr:twoCellAnchor>
    <xdr:from>
      <xdr:col>11</xdr:col>
      <xdr:colOff>370410</xdr:colOff>
      <xdr:row>0</xdr:row>
      <xdr:rowOff>79369</xdr:rowOff>
    </xdr:from>
    <xdr:to>
      <xdr:col>14</xdr:col>
      <xdr:colOff>615142</xdr:colOff>
      <xdr:row>3</xdr:row>
      <xdr:rowOff>58202</xdr:rowOff>
    </xdr:to>
    <xdr:sp macro="" textlink="">
      <xdr:nvSpPr>
        <xdr:cNvPr id="3" name="مربع نص 2"/>
        <xdr:cNvSpPr txBox="1"/>
      </xdr:nvSpPr>
      <xdr:spPr>
        <a:xfrm>
          <a:off x="11370627514" y="79369"/>
          <a:ext cx="3280826" cy="9313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ctr"/>
        <a:lstStyle/>
        <a:p>
          <a:pPr algn="ctr" rtl="1"/>
          <a:r>
            <a:rPr lang="ar-SA" sz="5400" b="1">
              <a:solidFill>
                <a:srgbClr val="00823B"/>
              </a:solidFill>
              <a:cs typeface="Traditional Arabic" pitchFamily="2" charset="-78"/>
            </a:rPr>
            <a:t>البريد الرسمي</a:t>
          </a:r>
        </a:p>
      </xdr:txBody>
    </xdr:sp>
    <xdr:clientData/>
  </xdr:twoCellAnchor>
  <xdr:twoCellAnchor>
    <xdr:from>
      <xdr:col>10</xdr:col>
      <xdr:colOff>734217</xdr:colOff>
      <xdr:row>1</xdr:row>
      <xdr:rowOff>377031</xdr:rowOff>
    </xdr:from>
    <xdr:to>
      <xdr:col>15</xdr:col>
      <xdr:colOff>25115</xdr:colOff>
      <xdr:row>3</xdr:row>
      <xdr:rowOff>465660</xdr:rowOff>
    </xdr:to>
    <xdr:sp macro="" textlink="">
      <xdr:nvSpPr>
        <xdr:cNvPr id="4" name="مربع نص 3"/>
        <xdr:cNvSpPr txBox="1"/>
      </xdr:nvSpPr>
      <xdr:spPr>
        <a:xfrm>
          <a:off x="11370205510" y="912812"/>
          <a:ext cx="4351054" cy="5053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ctr"/>
        <a:lstStyle/>
        <a:p>
          <a:pPr algn="ctr" rtl="1"/>
          <a:r>
            <a:rPr lang="en-US" sz="3600">
              <a:solidFill>
                <a:srgbClr val="00823B"/>
              </a:solidFill>
              <a:latin typeface="Traditional Arabic" pitchFamily="18" charset="-78"/>
              <a:cs typeface="Traditional Arabic" pitchFamily="18" charset="-78"/>
            </a:rPr>
            <a:t>eimalah@sp.com.sa</a:t>
          </a:r>
          <a:endParaRPr lang="ar-SA" sz="3600">
            <a:solidFill>
              <a:srgbClr val="00823B"/>
            </a:solidFill>
            <a:latin typeface="Traditional Arabic" pitchFamily="18" charset="-78"/>
            <a:cs typeface="Traditional Arabic" pitchFamily="18" charset="-7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59531</xdr:colOff>
      <xdr:row>0</xdr:row>
      <xdr:rowOff>49475</xdr:rowOff>
    </xdr:from>
    <xdr:to>
      <xdr:col>17</xdr:col>
      <xdr:colOff>892968</xdr:colOff>
      <xdr:row>4</xdr:row>
      <xdr:rowOff>350884</xdr:rowOff>
    </xdr:to>
    <xdr:pic>
      <xdr:nvPicPr>
        <xdr:cNvPr id="2" name="صورة 1" descr="سعار البريد السعودي.jpg"/>
        <xdr:cNvPicPr>
          <a:picLocks noChangeAspect="1"/>
        </xdr:cNvPicPr>
      </xdr:nvPicPr>
      <xdr:blipFill>
        <a:blip xmlns:r="http://schemas.openxmlformats.org/officeDocument/2006/relationships" r:embed="rId1" cstate="print">
          <a:lum bright="-30000"/>
        </a:blip>
        <a:stretch>
          <a:fillRect/>
        </a:stretch>
      </xdr:blipFill>
      <xdr:spPr>
        <a:xfrm>
          <a:off x="11086397532" y="49475"/>
          <a:ext cx="13215937" cy="1825409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  <xdr:twoCellAnchor>
    <xdr:from>
      <xdr:col>13</xdr:col>
      <xdr:colOff>635013</xdr:colOff>
      <xdr:row>0</xdr:row>
      <xdr:rowOff>42331</xdr:rowOff>
    </xdr:from>
    <xdr:to>
      <xdr:col>17</xdr:col>
      <xdr:colOff>515950</xdr:colOff>
      <xdr:row>1</xdr:row>
      <xdr:rowOff>402164</xdr:rowOff>
    </xdr:to>
    <xdr:sp macro="" textlink="">
      <xdr:nvSpPr>
        <xdr:cNvPr id="3" name="مربع نص 2"/>
        <xdr:cNvSpPr txBox="1"/>
      </xdr:nvSpPr>
      <xdr:spPr>
        <a:xfrm>
          <a:off x="11086774550" y="42331"/>
          <a:ext cx="3690937" cy="9313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ctr"/>
        <a:lstStyle/>
        <a:p>
          <a:pPr algn="ctr" rtl="1"/>
          <a:r>
            <a:rPr lang="ar-SA" sz="5400" b="1">
              <a:solidFill>
                <a:srgbClr val="00823B"/>
              </a:solidFill>
              <a:cs typeface="Traditional Arabic" pitchFamily="2" charset="-78"/>
            </a:rPr>
            <a:t>البريد الرسمي</a:t>
          </a:r>
        </a:p>
      </xdr:txBody>
    </xdr:sp>
    <xdr:clientData/>
  </xdr:twoCellAnchor>
  <xdr:twoCellAnchor>
    <xdr:from>
      <xdr:col>13</xdr:col>
      <xdr:colOff>243421</xdr:colOff>
      <xdr:row>1</xdr:row>
      <xdr:rowOff>428623</xdr:rowOff>
    </xdr:from>
    <xdr:to>
      <xdr:col>17</xdr:col>
      <xdr:colOff>858578</xdr:colOff>
      <xdr:row>3</xdr:row>
      <xdr:rowOff>357186</xdr:rowOff>
    </xdr:to>
    <xdr:sp macro="" textlink="">
      <xdr:nvSpPr>
        <xdr:cNvPr id="4" name="مربع نص 3"/>
        <xdr:cNvSpPr txBox="1"/>
      </xdr:nvSpPr>
      <xdr:spPr>
        <a:xfrm>
          <a:off x="11086431922" y="1000123"/>
          <a:ext cx="4425157" cy="5000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1" anchor="ctr"/>
        <a:lstStyle/>
        <a:p>
          <a:pPr algn="ctr" rtl="1"/>
          <a:r>
            <a:rPr lang="en-US" sz="3600">
              <a:solidFill>
                <a:srgbClr val="00823B"/>
              </a:solidFill>
              <a:latin typeface="Traditional Arabic" pitchFamily="18" charset="-78"/>
              <a:cs typeface="Traditional Arabic" pitchFamily="18" charset="-78"/>
            </a:rPr>
            <a:t>eimalah@sp.com.sa</a:t>
          </a:r>
          <a:endParaRPr lang="ar-SA" sz="3600">
            <a:solidFill>
              <a:srgbClr val="00823B"/>
            </a:solidFill>
            <a:latin typeface="Traditional Arabic" pitchFamily="18" charset="-78"/>
            <a:cs typeface="Traditional Arabic" pitchFamily="18" charset="-7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eimalah@sp.com.sa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"/>
  <sheetViews>
    <sheetView showGridLines="0" rightToLeft="1" tabSelected="1" zoomScale="48" zoomScaleNormal="48" workbookViewId="0">
      <pane xSplit="20" ySplit="19" topLeftCell="U26" activePane="bottomRight" state="frozen"/>
      <selection pane="topRight" activeCell="U1" sqref="U1"/>
      <selection pane="bottomLeft" activeCell="A20" sqref="A20"/>
      <selection pane="bottomRight" sqref="A1:D1"/>
    </sheetView>
  </sheetViews>
  <sheetFormatPr defaultRowHeight="25.5"/>
  <cols>
    <col min="1" max="1" width="20.25" style="41" customWidth="1"/>
    <col min="2" max="2" width="8.875" style="87" customWidth="1"/>
    <col min="3" max="19" width="13.25" style="41" customWidth="1"/>
    <col min="20" max="20" width="11.5" style="41" customWidth="1"/>
    <col min="21" max="16384" width="9" style="44"/>
  </cols>
  <sheetData>
    <row r="1" spans="1:21" ht="42.75" customHeight="1">
      <c r="A1" s="101" t="s">
        <v>0</v>
      </c>
      <c r="B1" s="101"/>
      <c r="C1" s="101"/>
      <c r="D1" s="101"/>
      <c r="P1" s="102" t="s">
        <v>1</v>
      </c>
      <c r="Q1" s="102"/>
      <c r="R1" s="102"/>
      <c r="S1" s="102"/>
      <c r="T1" s="42"/>
      <c r="U1" s="43"/>
    </row>
    <row r="2" spans="1:21" ht="32.25" customHeight="1">
      <c r="A2" s="103" t="s">
        <v>2</v>
      </c>
      <c r="B2" s="103"/>
      <c r="C2" s="103"/>
      <c r="D2" s="103"/>
      <c r="P2" s="103" t="s">
        <v>3</v>
      </c>
      <c r="Q2" s="103"/>
      <c r="R2" s="103"/>
      <c r="S2" s="103"/>
      <c r="U2" s="43"/>
    </row>
    <row r="3" spans="1:21" ht="12.75" hidden="1" customHeight="1">
      <c r="A3" s="104"/>
      <c r="B3" s="104"/>
      <c r="C3" s="104"/>
      <c r="U3" s="43"/>
    </row>
    <row r="4" spans="1:21" ht="40.5" customHeight="1">
      <c r="A4" s="45" t="s">
        <v>4</v>
      </c>
      <c r="B4" s="46">
        <v>39</v>
      </c>
      <c r="C4" s="98" t="str">
        <f>IF(B4&lt;=37,"الاولى",IF(B4=38,"الثانية",IF(B4=39,"الثالثة",IF(B4=40,"الرابعة",IF(B4=41,"الخامسة",IF(B4=42,"السادسة",IF(B4=43,"السابعة",IF(B4=44,"الثامنة",IF(B4=45,"التاسعة",IF(B4=46,"العاشرة",IF(B4=47,"الحادية عشر",IF(B4=48,"الثانية عشر",IF(B4=49,"الثالثة عشر",IF(B4=50,"الرابعة عشر",IF(B4&gt;=51,"الخامسة عشر")))))))))))))))</f>
        <v>الثالثة</v>
      </c>
      <c r="D4" s="98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8"/>
      <c r="R4" s="99">
        <f ca="1">NOW()</f>
        <v>40567.984414351849</v>
      </c>
      <c r="S4" s="99"/>
      <c r="T4" s="47"/>
      <c r="U4" s="43"/>
    </row>
    <row r="5" spans="1:21" ht="40.5" customHeight="1">
      <c r="A5" s="49" t="s">
        <v>5</v>
      </c>
      <c r="B5" s="50" t="str">
        <f>IF(B4&lt;=37,"135",IF(B4=38,"155",IF(B4=39,"185",IF(B4=40,"215",IF(B4=41,"250",IF(B4=42,"285",IF(B4=43,"330",IF(B4=44,"380",IF(B4=45,"420",IF(B4=46,"460",IF(B4=47,"485",IF(B4=48,"515",IF(B4=49,"535",IF(B4=50,"615",IF(B4&gt;=51,"760")))))))))))))))</f>
        <v>185</v>
      </c>
      <c r="C5" s="47"/>
      <c r="D5" s="107" t="s">
        <v>18</v>
      </c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47"/>
      <c r="R5" s="105">
        <f ca="1">NOW()</f>
        <v>40567.984414351849</v>
      </c>
      <c r="S5" s="105"/>
      <c r="T5" s="47"/>
      <c r="U5" s="43"/>
    </row>
    <row r="6" spans="1:21" ht="40.5" customHeight="1" thickBot="1">
      <c r="A6" s="100" t="s">
        <v>31</v>
      </c>
      <c r="B6" s="100"/>
      <c r="C6" s="100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51"/>
      <c r="R6" s="106">
        <v>39867.543993055559</v>
      </c>
      <c r="S6" s="106"/>
      <c r="T6" s="47"/>
      <c r="U6" s="52"/>
    </row>
    <row r="7" spans="1:21" ht="40.5" customHeight="1" thickBot="1">
      <c r="A7" s="53" t="s">
        <v>6</v>
      </c>
      <c r="B7" s="54"/>
      <c r="C7" s="55">
        <v>1</v>
      </c>
      <c r="D7" s="55">
        <v>2</v>
      </c>
      <c r="E7" s="55">
        <v>3</v>
      </c>
      <c r="F7" s="55">
        <v>4</v>
      </c>
      <c r="G7" s="55">
        <v>5</v>
      </c>
      <c r="H7" s="55">
        <v>6</v>
      </c>
      <c r="I7" s="55">
        <v>7</v>
      </c>
      <c r="J7" s="55">
        <v>8</v>
      </c>
      <c r="K7" s="55">
        <v>9</v>
      </c>
      <c r="L7" s="55">
        <v>10</v>
      </c>
      <c r="M7" s="55">
        <v>11</v>
      </c>
      <c r="N7" s="55">
        <v>12</v>
      </c>
      <c r="O7" s="55">
        <f>IF(B4&lt;51,13,"")</f>
        <v>13</v>
      </c>
      <c r="P7" s="55">
        <f>IF(B4&lt;50,14,"")</f>
        <v>14</v>
      </c>
      <c r="Q7" s="55">
        <f>IF(B4&lt;49,15,"")</f>
        <v>15</v>
      </c>
      <c r="R7" s="55">
        <f>IF(B4&lt;48,16,"")</f>
        <v>16</v>
      </c>
      <c r="S7" s="56" t="str">
        <f>IF(B4&gt;=47,"","17 ")</f>
        <v xml:space="preserve">17 </v>
      </c>
      <c r="T7" s="47"/>
      <c r="U7" s="43"/>
    </row>
    <row r="8" spans="1:21" ht="40.5" customHeight="1">
      <c r="A8" s="57" t="s">
        <v>7</v>
      </c>
      <c r="B8" s="58"/>
      <c r="C8" s="59" t="str">
        <f>IF(B4&lt;=37,"2195",IF(B4=38,"2680",IF(B4=39,"3125",IF(B4=40,"3585",IF(B4=41,"4230",IF(B4=42,"4970",IF(B4=43,"5835",IF(B4=44,"6755",IF(B4=45,"7890",IF(B4=46,"8800",IF(B4=47,"10155",IF(B4=48,"11575",IF(B4=49,"13125",IF(B4=50,"14200",IF(B4&gt;=51,"17595")))))))))))))))</f>
        <v>3125</v>
      </c>
      <c r="D8" s="60">
        <f>C8+B5</f>
        <v>3310</v>
      </c>
      <c r="E8" s="60">
        <f>D8+B5</f>
        <v>3495</v>
      </c>
      <c r="F8" s="60">
        <f>E8+B5</f>
        <v>3680</v>
      </c>
      <c r="G8" s="60">
        <f>F8+B5</f>
        <v>3865</v>
      </c>
      <c r="H8" s="60">
        <f>G8+B5</f>
        <v>4050</v>
      </c>
      <c r="I8" s="60">
        <f>H8+B5</f>
        <v>4235</v>
      </c>
      <c r="J8" s="60">
        <f>I8+B5</f>
        <v>4420</v>
      </c>
      <c r="K8" s="60">
        <f>J8+B5</f>
        <v>4605</v>
      </c>
      <c r="L8" s="60">
        <f>K8+B5</f>
        <v>4790</v>
      </c>
      <c r="M8" s="60">
        <f>L8+B5</f>
        <v>4975</v>
      </c>
      <c r="N8" s="60">
        <f>M8+B5</f>
        <v>5160</v>
      </c>
      <c r="O8" s="60">
        <f>IF(B4&lt;51,N8+B5,"")</f>
        <v>5345</v>
      </c>
      <c r="P8" s="60">
        <f>IF(B4&lt;50,O8+B5,"")</f>
        <v>5530</v>
      </c>
      <c r="Q8" s="60">
        <f>IF(B4&lt;49,P8+B5,"")</f>
        <v>5715</v>
      </c>
      <c r="R8" s="60">
        <f>IF(B4&lt;48,Q8+B5,"")</f>
        <v>5900</v>
      </c>
      <c r="S8" s="61">
        <f>IF(B4&lt;47,R8+B5,"")</f>
        <v>6085</v>
      </c>
      <c r="T8" s="47"/>
      <c r="U8" s="43"/>
    </row>
    <row r="9" spans="1:21" ht="40.5" customHeight="1">
      <c r="A9" s="62" t="s">
        <v>8</v>
      </c>
      <c r="B9" s="63">
        <v>0.15</v>
      </c>
      <c r="C9" s="64">
        <f>C8*B9</f>
        <v>468.75</v>
      </c>
      <c r="D9" s="65">
        <f>D8*B9</f>
        <v>496.5</v>
      </c>
      <c r="E9" s="65">
        <f>E8*B9</f>
        <v>524.25</v>
      </c>
      <c r="F9" s="65">
        <f>F8*B9</f>
        <v>552</v>
      </c>
      <c r="G9" s="65">
        <f>G8*B9</f>
        <v>579.75</v>
      </c>
      <c r="H9" s="65">
        <f>H8*B9</f>
        <v>607.5</v>
      </c>
      <c r="I9" s="65">
        <f>I8*B9</f>
        <v>635.25</v>
      </c>
      <c r="J9" s="65">
        <f>J8*B9</f>
        <v>663</v>
      </c>
      <c r="K9" s="65">
        <f>K8*B9</f>
        <v>690.75</v>
      </c>
      <c r="L9" s="65">
        <f>L8*B9</f>
        <v>718.5</v>
      </c>
      <c r="M9" s="65">
        <f>M8*B9</f>
        <v>746.25</v>
      </c>
      <c r="N9" s="65">
        <f>N8*B9</f>
        <v>774</v>
      </c>
      <c r="O9" s="65">
        <f>IF(B4&lt;51,O8*B9,"")</f>
        <v>801.75</v>
      </c>
      <c r="P9" s="65">
        <f>IF(B4&lt;50,P8*B9,"")</f>
        <v>829.5</v>
      </c>
      <c r="Q9" s="65">
        <f>IF(B4&lt;49,Q8*B9,"")</f>
        <v>857.25</v>
      </c>
      <c r="R9" s="65">
        <f>IF(B4&lt;48,R8*B9,"")</f>
        <v>885</v>
      </c>
      <c r="S9" s="66">
        <f>IF(B4&lt;47,S8*B9,"")</f>
        <v>912.75</v>
      </c>
      <c r="T9" s="47"/>
      <c r="U9" s="43"/>
    </row>
    <row r="10" spans="1:21" ht="40.5" customHeight="1">
      <c r="A10" s="62" t="s">
        <v>10</v>
      </c>
      <c r="B10" s="67" t="str">
        <f>IF(B4&lt;=41,"400",IF(B4&gt;=42,"600"))</f>
        <v>400</v>
      </c>
      <c r="C10" s="64" t="str">
        <f>B10</f>
        <v>400</v>
      </c>
      <c r="D10" s="65" t="str">
        <f>B10</f>
        <v>400</v>
      </c>
      <c r="E10" s="65" t="str">
        <f>B10</f>
        <v>400</v>
      </c>
      <c r="F10" s="65" t="str">
        <f>B10</f>
        <v>400</v>
      </c>
      <c r="G10" s="65" t="str">
        <f>B10</f>
        <v>400</v>
      </c>
      <c r="H10" s="65" t="str">
        <f>B10</f>
        <v>400</v>
      </c>
      <c r="I10" s="65" t="str">
        <f>B10</f>
        <v>400</v>
      </c>
      <c r="J10" s="65" t="str">
        <f>B10</f>
        <v>400</v>
      </c>
      <c r="K10" s="65" t="str">
        <f>B10</f>
        <v>400</v>
      </c>
      <c r="L10" s="65" t="str">
        <f>B10</f>
        <v>400</v>
      </c>
      <c r="M10" s="65" t="str">
        <f>B10</f>
        <v>400</v>
      </c>
      <c r="N10" s="65" t="str">
        <f>B10</f>
        <v>400</v>
      </c>
      <c r="O10" s="65" t="str">
        <f>IF(B4&lt;51,B10,"")</f>
        <v>400</v>
      </c>
      <c r="P10" s="65" t="str">
        <f>IF(B4&lt;50,B10,"")</f>
        <v>400</v>
      </c>
      <c r="Q10" s="65" t="str">
        <f>IF(B4&lt;49,B10,"")</f>
        <v>400</v>
      </c>
      <c r="R10" s="65" t="str">
        <f>IF(B4&lt;48,B10,"")</f>
        <v>400</v>
      </c>
      <c r="S10" s="66" t="str">
        <f>IF(B4&lt;47,B10,"")</f>
        <v>400</v>
      </c>
      <c r="T10" s="47"/>
      <c r="U10" s="43"/>
    </row>
    <row r="11" spans="1:21" ht="40.5" customHeight="1">
      <c r="A11" s="62" t="s">
        <v>11</v>
      </c>
      <c r="B11" s="68">
        <v>-0.09</v>
      </c>
      <c r="C11" s="64">
        <f>C8*B11</f>
        <v>-281.25</v>
      </c>
      <c r="D11" s="65">
        <f>D8*B11</f>
        <v>-297.89999999999998</v>
      </c>
      <c r="E11" s="65">
        <f>E8*B11</f>
        <v>-314.55</v>
      </c>
      <c r="F11" s="65">
        <f>F8*B11</f>
        <v>-331.2</v>
      </c>
      <c r="G11" s="65">
        <f>G8*B11</f>
        <v>-347.84999999999997</v>
      </c>
      <c r="H11" s="65">
        <f>H8*B11</f>
        <v>-364.5</v>
      </c>
      <c r="I11" s="65">
        <f>I8*B11</f>
        <v>-381.15</v>
      </c>
      <c r="J11" s="65">
        <f>J8*B11</f>
        <v>-397.8</v>
      </c>
      <c r="K11" s="65">
        <f>K8*B11</f>
        <v>-414.45</v>
      </c>
      <c r="L11" s="65">
        <f>L8*B11</f>
        <v>-431.09999999999997</v>
      </c>
      <c r="M11" s="65">
        <f>M8*B11</f>
        <v>-447.75</v>
      </c>
      <c r="N11" s="65">
        <f>N8*B11</f>
        <v>-464.4</v>
      </c>
      <c r="O11" s="65">
        <f>IF(B4&lt;51,O8*B11,"")</f>
        <v>-481.04999999999995</v>
      </c>
      <c r="P11" s="65">
        <f>IF(B4&lt;50,P8*B11,"")</f>
        <v>-497.7</v>
      </c>
      <c r="Q11" s="65">
        <f>IF(B4&lt;49,Q8*B11,"")</f>
        <v>-514.35</v>
      </c>
      <c r="R11" s="65">
        <f>IF(B4&lt;48,R8*B11,"")</f>
        <v>-531</v>
      </c>
      <c r="S11" s="66">
        <f>IF(B4&lt;47,S8*B11,"")</f>
        <v>-547.65</v>
      </c>
      <c r="T11" s="47"/>
      <c r="U11" s="43"/>
    </row>
    <row r="12" spans="1:21" ht="40.5" customHeight="1">
      <c r="A12" s="62" t="s">
        <v>12</v>
      </c>
      <c r="B12" s="68">
        <v>0.2</v>
      </c>
      <c r="C12" s="64">
        <f>C8*B12</f>
        <v>625</v>
      </c>
      <c r="D12" s="65">
        <f>D8*B12</f>
        <v>662</v>
      </c>
      <c r="E12" s="65">
        <f>E8*B12</f>
        <v>699</v>
      </c>
      <c r="F12" s="65">
        <f>F8*B12</f>
        <v>736</v>
      </c>
      <c r="G12" s="65">
        <f>G8*B12</f>
        <v>773</v>
      </c>
      <c r="H12" s="65">
        <f>H8*B12</f>
        <v>810</v>
      </c>
      <c r="I12" s="65">
        <f>I8*B12</f>
        <v>847</v>
      </c>
      <c r="J12" s="65">
        <f>J8*B12</f>
        <v>884</v>
      </c>
      <c r="K12" s="65">
        <f>K8*B12</f>
        <v>921</v>
      </c>
      <c r="L12" s="65">
        <f>L8*B12</f>
        <v>958</v>
      </c>
      <c r="M12" s="65">
        <f>M8*B12</f>
        <v>995</v>
      </c>
      <c r="N12" s="65">
        <f>N8*B12</f>
        <v>1032</v>
      </c>
      <c r="O12" s="65">
        <f>IF(B4&lt;51,O8*B12,"")</f>
        <v>1069</v>
      </c>
      <c r="P12" s="65">
        <f>IF(B4&lt;50,P8*B12,"")</f>
        <v>1106</v>
      </c>
      <c r="Q12" s="65">
        <f>IF(B4&lt;49,Q8*B12,"")</f>
        <v>1143</v>
      </c>
      <c r="R12" s="65">
        <f>IF(B4&lt;48,R8*B12,"")</f>
        <v>1180</v>
      </c>
      <c r="S12" s="66">
        <f>IF(B4&lt;47,S8*B12,"")</f>
        <v>1217</v>
      </c>
      <c r="T12" s="47"/>
      <c r="U12" s="43"/>
    </row>
    <row r="13" spans="1:21" ht="40.5" customHeight="1">
      <c r="A13" s="62" t="s">
        <v>13</v>
      </c>
      <c r="B13" s="67">
        <v>2</v>
      </c>
      <c r="C13" s="64">
        <f>C8*B13</f>
        <v>6250</v>
      </c>
      <c r="D13" s="65">
        <f>D8*B13</f>
        <v>6620</v>
      </c>
      <c r="E13" s="65">
        <f>E8*B13</f>
        <v>6990</v>
      </c>
      <c r="F13" s="65">
        <f>F8*B13</f>
        <v>7360</v>
      </c>
      <c r="G13" s="65">
        <f>G8*B13</f>
        <v>7730</v>
      </c>
      <c r="H13" s="65">
        <f>H8*B13</f>
        <v>8100</v>
      </c>
      <c r="I13" s="65">
        <f>I8*B13</f>
        <v>8470</v>
      </c>
      <c r="J13" s="65">
        <f>J8*B13</f>
        <v>8840</v>
      </c>
      <c r="K13" s="65">
        <f>K8*B13</f>
        <v>9210</v>
      </c>
      <c r="L13" s="65">
        <f>L8*B13</f>
        <v>9580</v>
      </c>
      <c r="M13" s="65">
        <f>M8*B13</f>
        <v>9950</v>
      </c>
      <c r="N13" s="65">
        <f>N8*B13</f>
        <v>10320</v>
      </c>
      <c r="O13" s="65">
        <f>IF(B4&lt;51,O8*B13,"")</f>
        <v>10690</v>
      </c>
      <c r="P13" s="65">
        <f>IF(B4&lt;50,P8*B13,"")</f>
        <v>11060</v>
      </c>
      <c r="Q13" s="65">
        <f>IF(B4&lt;49,Q8*B13,"")</f>
        <v>11430</v>
      </c>
      <c r="R13" s="65">
        <f>IF(B4&lt;48,R8*B13,"")</f>
        <v>11800</v>
      </c>
      <c r="S13" s="66">
        <f>IF(B4&lt;47,S8*B13,"")</f>
        <v>12170</v>
      </c>
      <c r="T13" s="47"/>
      <c r="U13" s="43"/>
    </row>
    <row r="14" spans="1:21" ht="44.25" customHeight="1" thickBot="1">
      <c r="A14" s="88" t="s">
        <v>15</v>
      </c>
      <c r="B14" s="89"/>
      <c r="C14" s="90">
        <f>C8+C9+C10+C11+C12</f>
        <v>4337.5</v>
      </c>
      <c r="D14" s="91">
        <f t="shared" ref="D14:R14" si="0">D8+D9+D10+D11+D12</f>
        <v>4570.6000000000004</v>
      </c>
      <c r="E14" s="91">
        <f t="shared" si="0"/>
        <v>4803.7</v>
      </c>
      <c r="F14" s="91">
        <f t="shared" si="0"/>
        <v>5036.8</v>
      </c>
      <c r="G14" s="91">
        <f t="shared" si="0"/>
        <v>5269.9</v>
      </c>
      <c r="H14" s="91">
        <f t="shared" si="0"/>
        <v>5503</v>
      </c>
      <c r="I14" s="91">
        <f t="shared" si="0"/>
        <v>5736.1</v>
      </c>
      <c r="J14" s="91">
        <f t="shared" si="0"/>
        <v>5969.2</v>
      </c>
      <c r="K14" s="91">
        <f t="shared" si="0"/>
        <v>6202.3</v>
      </c>
      <c r="L14" s="91">
        <f t="shared" si="0"/>
        <v>6435.4</v>
      </c>
      <c r="M14" s="91">
        <f t="shared" si="0"/>
        <v>6668.5</v>
      </c>
      <c r="N14" s="91">
        <f t="shared" si="0"/>
        <v>6901.6</v>
      </c>
      <c r="O14" s="91">
        <f t="shared" si="0"/>
        <v>7134.7</v>
      </c>
      <c r="P14" s="91">
        <f t="shared" si="0"/>
        <v>7367.8</v>
      </c>
      <c r="Q14" s="91">
        <f t="shared" si="0"/>
        <v>7600.9</v>
      </c>
      <c r="R14" s="91">
        <f t="shared" si="0"/>
        <v>7834</v>
      </c>
      <c r="S14" s="92">
        <f>S8+S9+S10+S11+S12</f>
        <v>8067.1</v>
      </c>
      <c r="T14" s="69"/>
      <c r="U14" s="43"/>
    </row>
    <row r="15" spans="1:21" s="72" customFormat="1" ht="44.25" customHeight="1" thickTop="1" thickBot="1">
      <c r="A15" s="108" t="s">
        <v>19</v>
      </c>
      <c r="B15" s="109"/>
      <c r="C15" s="95">
        <f>(((E14-E9)-(C14-C9))*6)+(E13-C13)/2+(((F14-F9)-(D14-D9))*12+((F13-D13))+((G14-G9)-(E14-E9))*12+(G13-E13))+(((H8+(H8*5/100)+H10+H11+H12)-(F8+(F8*5/100)+F10+F11+F12))*12+(H13-F13))+(((I8+(I8*10/100)+I10+I11+I12)-(G8+(G8*10/100)+G10+G11+G12))*12+(I13-G13))+((J14-H14)*12+(J13-H13))</f>
        <v>32508.2</v>
      </c>
      <c r="D15" s="95">
        <f t="shared" ref="D15:L15" si="1">(((F14-F9)-(D14-D9))*6)+(F13-D13)/2+(((G14-G9)-(E14-E9))*12+((G13-E13))+((H14-H9)-(F14-F9))*12+(H13-F13))+(((I8+(I8*5/100)+I10+I11+I12)-(G8+(G8*5/100)+G10+G11+G12))*12+(I13-G13))+(((J8+(J8*10/100)+J10+J11+J12)-(H8+(H8*10/100)+H10+H11+H12))*12+(J13-H13))+((K14-I14)*12+(K13-I13))</f>
        <v>32508.199999999997</v>
      </c>
      <c r="E15" s="95">
        <f t="shared" si="1"/>
        <v>32508.199999999997</v>
      </c>
      <c r="F15" s="95">
        <f t="shared" si="1"/>
        <v>32508.199999999997</v>
      </c>
      <c r="G15" s="95">
        <f t="shared" si="1"/>
        <v>32508.200000000004</v>
      </c>
      <c r="H15" s="96">
        <f t="shared" si="1"/>
        <v>32508.2</v>
      </c>
      <c r="I15" s="96">
        <f t="shared" si="1"/>
        <v>32508.199999999997</v>
      </c>
      <c r="J15" s="96">
        <f t="shared" si="1"/>
        <v>32508.199999999997</v>
      </c>
      <c r="K15" s="96">
        <f t="shared" si="1"/>
        <v>32508.199999999997</v>
      </c>
      <c r="L15" s="96">
        <f t="shared" si="1"/>
        <v>32508.200000000004</v>
      </c>
      <c r="M15" s="96">
        <f>(((O14-O9)-(M14-M9))*6)+(O13-M13)/2+(((P14-P9)-(N14-N9))*12+((P13-N13))+((Q14-Q9)-(O14-O9))*12+(Q13-O13))+(((R8+(R8*5/100)+R10+R11+R12)-(P8+(P8*5/100)+P10+P11+P12))*12+(R13-P13))+(((S8+(S8*10/100)+S10+S11+S12)-(Q8+(Q8*10/100)+Q10+Q11+Q12))*12+(S13-Q13))+((S14-R14)*12+(S13-R13))</f>
        <v>29341.000000000007</v>
      </c>
      <c r="N15" s="96">
        <f>(((P14-P9)-(N14-N9))*6)+(P13-N13)/2+(((Q14-Q9)-(O14-O9))*12+((Q13-O13))+((R14-R9)-(P14-P9))*12+(R13-P13))+(((S8+(S8*5/100)+S10+S11+S12)-(Q8+(Q8*5/100)+Q10+Q11+Q12))*12+(S13-Q13))</f>
        <v>20061.400000000001</v>
      </c>
      <c r="O15" s="96">
        <f>(((Q14-Q9)-(O14-O9))*6)+(Q13-O13)/2+(((R14-R9)-(P14-P9))*12+((R13-P13))+((S14-S9)-(Q14-Q9))*12+(S13-Q13))+(((S8+(S8*5/100)+S10+S11+S12)-(R8+(R8*5/100)+R10+R11+R12))*12+(S13-R13))</f>
        <v>17116.200000000012</v>
      </c>
      <c r="P15" s="96">
        <f>(((R14-R9)-(P14-P9))*6)+(R13-P13)/2+(((S14-S9)-(Q14-Q9))*12+((S13-Q13))+((S14-S9)-(R14-R9))*12+(S13-R13))</f>
        <v>11336.800000000012</v>
      </c>
      <c r="Q15" s="96">
        <f>(((S14-S9)-(Q14-Q9))*6)+(S13-Q13)/2+(((S14-S9)-(R14-R9))*12+((S13-R13)))</f>
        <v>5668.4000000000087</v>
      </c>
      <c r="R15" s="96">
        <f>(((S14-S9)-(R14-R9))*6)+(S13-R13)/2</f>
        <v>1417.1000000000022</v>
      </c>
      <c r="S15" s="97">
        <f>(((S14-S9)-(S14-S9))*6)+(S13-S13)/2</f>
        <v>0</v>
      </c>
      <c r="T15" s="70"/>
      <c r="U15" s="71"/>
    </row>
    <row r="16" spans="1:21" s="75" customFormat="1" ht="40.5" customHeight="1" thickTop="1" thickBot="1">
      <c r="A16" s="110" t="s">
        <v>20</v>
      </c>
      <c r="B16" s="111"/>
      <c r="C16" s="93" t="s">
        <v>21</v>
      </c>
      <c r="D16" s="93" t="s">
        <v>22</v>
      </c>
      <c r="E16" s="93" t="s">
        <v>23</v>
      </c>
      <c r="F16" s="93" t="s">
        <v>24</v>
      </c>
      <c r="G16" s="93" t="s">
        <v>25</v>
      </c>
      <c r="H16" s="94" t="s">
        <v>26</v>
      </c>
      <c r="I16" s="112"/>
      <c r="J16" s="112"/>
      <c r="K16" s="112"/>
      <c r="L16" s="73"/>
      <c r="M16" s="73"/>
      <c r="N16" s="73"/>
      <c r="O16" s="73"/>
      <c r="P16" s="73"/>
      <c r="Q16" s="73"/>
      <c r="R16" s="73"/>
      <c r="S16" s="73"/>
      <c r="T16" s="73"/>
      <c r="U16" s="74"/>
    </row>
    <row r="17" spans="1:21" s="75" customFormat="1" ht="30" customHeight="1">
      <c r="A17" s="113" t="s">
        <v>27</v>
      </c>
      <c r="B17" s="114"/>
      <c r="C17" s="76">
        <f>(E13-C13)/2</f>
        <v>370</v>
      </c>
      <c r="D17" s="77">
        <f>F13-D13</f>
        <v>740</v>
      </c>
      <c r="E17" s="77">
        <f>G13-E13</f>
        <v>740</v>
      </c>
      <c r="F17" s="77">
        <f>H13-F13</f>
        <v>740</v>
      </c>
      <c r="G17" s="77">
        <f>I13-G13</f>
        <v>740</v>
      </c>
      <c r="H17" s="78">
        <f>J13-H13</f>
        <v>740</v>
      </c>
      <c r="I17" s="115"/>
      <c r="J17" s="115"/>
      <c r="K17" s="115"/>
      <c r="L17" s="79"/>
      <c r="M17" s="73"/>
      <c r="N17" s="73"/>
      <c r="O17" s="73"/>
      <c r="P17" s="73"/>
      <c r="Q17" s="73"/>
      <c r="R17" s="73"/>
      <c r="S17" s="73"/>
      <c r="T17" s="73"/>
      <c r="U17" s="74"/>
    </row>
    <row r="18" spans="1:21" s="75" customFormat="1" ht="29.25" customHeight="1">
      <c r="A18" s="113" t="s">
        <v>28</v>
      </c>
      <c r="B18" s="114"/>
      <c r="C18" s="80">
        <f>((E14-E9)-(C14-C9))*6</f>
        <v>2464.1999999999989</v>
      </c>
      <c r="D18" s="81">
        <f>((F14-F9)-(D14-D9))*12</f>
        <v>4928.3999999999978</v>
      </c>
      <c r="E18" s="81">
        <f>((G14-G9)-(E14-E9))*12</f>
        <v>4928.3999999999978</v>
      </c>
      <c r="F18" s="81">
        <f>((H8+(H8*5/100)+H10+H11+H12)-(F8+(F8*5/100)+F10+F11+F12))*12</f>
        <v>5150.3999999999978</v>
      </c>
      <c r="G18" s="81">
        <f>((I8+(I8*10/100)+I10+I11+I12)-(G8+(G8*10/100)+G10+G11+G12))*12</f>
        <v>5372.4000000000087</v>
      </c>
      <c r="H18" s="82">
        <f>(J14-H14)*12</f>
        <v>5594.3999999999978</v>
      </c>
      <c r="I18" s="115"/>
      <c r="J18" s="115"/>
      <c r="K18" s="115"/>
      <c r="L18" s="73"/>
      <c r="M18" s="73"/>
      <c r="N18" s="73"/>
      <c r="O18" s="73"/>
      <c r="P18" s="73"/>
      <c r="Q18" s="73"/>
      <c r="R18" s="73"/>
      <c r="S18" s="73"/>
      <c r="T18" s="73"/>
      <c r="U18" s="74"/>
    </row>
    <row r="19" spans="1:21" s="75" customFormat="1" ht="29.25" customHeight="1" thickBot="1">
      <c r="A19" s="116" t="s">
        <v>29</v>
      </c>
      <c r="B19" s="117"/>
      <c r="C19" s="83">
        <f>SUM(C17:C18)</f>
        <v>2834.1999999999989</v>
      </c>
      <c r="D19" s="84">
        <f t="shared" ref="D19:H19" si="2">SUM(D17:D18)</f>
        <v>5668.3999999999978</v>
      </c>
      <c r="E19" s="84">
        <f t="shared" si="2"/>
        <v>5668.3999999999978</v>
      </c>
      <c r="F19" s="84">
        <f t="shared" si="2"/>
        <v>5890.3999999999978</v>
      </c>
      <c r="G19" s="84">
        <f>SUM(G17:G18)</f>
        <v>6112.4000000000087</v>
      </c>
      <c r="H19" s="85">
        <f t="shared" si="2"/>
        <v>6334.3999999999978</v>
      </c>
      <c r="I19" s="115"/>
      <c r="J19" s="115"/>
      <c r="K19" s="115"/>
      <c r="L19" s="73"/>
      <c r="M19" s="73"/>
      <c r="N19" s="73"/>
      <c r="O19" s="73"/>
      <c r="P19" s="73"/>
      <c r="Q19" s="73"/>
      <c r="R19" s="73"/>
      <c r="S19" s="73"/>
      <c r="T19" s="73"/>
    </row>
    <row r="20" spans="1:21" s="75" customFormat="1" ht="40.5" customHeight="1">
      <c r="A20" s="73"/>
      <c r="B20" s="86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</row>
    <row r="21" spans="1:21" s="75" customFormat="1">
      <c r="A21" s="73"/>
      <c r="B21" s="86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</row>
  </sheetData>
  <sheetProtection password="CCDF" sheet="1" objects="1" scenarios="1"/>
  <protectedRanges>
    <protectedRange password="CAE1" sqref="B13" name="مكافأت رمضان"/>
    <protectedRange password="DD06" sqref="B12" name="علاوة"/>
    <protectedRange password="8E16" sqref="B11" name="التقاعد"/>
  </protectedRanges>
  <mergeCells count="18">
    <mergeCell ref="A15:B15"/>
    <mergeCell ref="A16:B16"/>
    <mergeCell ref="I16:K16"/>
    <mergeCell ref="A17:B17"/>
    <mergeCell ref="I17:K19"/>
    <mergeCell ref="A18:B18"/>
    <mergeCell ref="A19:B19"/>
    <mergeCell ref="C4:D4"/>
    <mergeCell ref="R4:S4"/>
    <mergeCell ref="A6:C6"/>
    <mergeCell ref="A1:D1"/>
    <mergeCell ref="P1:S1"/>
    <mergeCell ref="A2:D2"/>
    <mergeCell ref="P2:S2"/>
    <mergeCell ref="A3:C3"/>
    <mergeCell ref="R5:S5"/>
    <mergeCell ref="R6:S6"/>
    <mergeCell ref="D5:P6"/>
  </mergeCells>
  <conditionalFormatting sqref="B4">
    <cfRule type="cellIs" dxfId="10" priority="6" operator="equal">
      <formula>51</formula>
    </cfRule>
    <cfRule type="cellIs" dxfId="9" priority="7" operator="lessThan">
      <formula>37</formula>
    </cfRule>
    <cfRule type="cellIs" dxfId="8" priority="8" operator="greaterThan">
      <formula>50</formula>
    </cfRule>
  </conditionalFormatting>
  <conditionalFormatting sqref="S8:S13 P14:T14">
    <cfRule type="cellIs" dxfId="7" priority="5" operator="greaterThan">
      <formula>0</formula>
    </cfRule>
  </conditionalFormatting>
  <conditionalFormatting sqref="I15:S15">
    <cfRule type="cellIs" dxfId="6" priority="4" operator="greaterThan">
      <formula>0</formula>
    </cfRule>
  </conditionalFormatting>
  <conditionalFormatting sqref="H15">
    <cfRule type="cellIs" dxfId="5" priority="3" operator="greaterThan">
      <formula>0</formula>
    </cfRule>
  </conditionalFormatting>
  <conditionalFormatting sqref="C8:S14">
    <cfRule type="cellIs" dxfId="4" priority="2" operator="greaterThan">
      <formula>0</formula>
    </cfRule>
  </conditionalFormatting>
  <conditionalFormatting sqref="C11:S11">
    <cfRule type="cellIs" dxfId="3" priority="1" operator="lessThan">
      <formula>0</formula>
    </cfRule>
  </conditionalFormatting>
  <dataValidations count="1">
    <dataValidation type="list" allowBlank="1" showInputMessage="1" showErrorMessage="1" sqref="L17 C5">
      <formula1>$U$1:$U$18</formula1>
    </dataValidation>
  </dataValidations>
  <hyperlinks>
    <hyperlink ref="A6:C6" location="'سلم رواتب موظفي ومستخدمي وعمال '!A1" tooltip="الانتقال الى الرواتب" display="سلم رواتب موظفي ومستخدمي وعمال '!A1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landscape" blackAndWhite="1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ورقة12">
    <pageSetUpPr fitToPage="1"/>
  </sheetPr>
  <dimension ref="A1:W26"/>
  <sheetViews>
    <sheetView showGridLines="0" showRowColHeaders="0" showZeros="0" rightToLeft="1" zoomScale="45" zoomScaleNormal="45" workbookViewId="0">
      <pane xSplit="22" ySplit="19" topLeftCell="W20" activePane="bottomRight" state="frozen"/>
      <selection pane="topRight" activeCell="W1" sqref="W1"/>
      <selection pane="bottomLeft" activeCell="A20" sqref="A20"/>
      <selection pane="bottomRight" activeCell="A7" sqref="A7:C7"/>
    </sheetView>
  </sheetViews>
  <sheetFormatPr defaultRowHeight="56.25"/>
  <cols>
    <col min="1" max="1" width="17.75" style="3" customWidth="1"/>
    <col min="2" max="2" width="8.625" style="6" customWidth="1"/>
    <col min="3" max="19" width="12.375" style="3" customWidth="1"/>
    <col min="20" max="20" width="12.5" style="3" customWidth="1"/>
    <col min="21" max="22" width="12.375" style="3" customWidth="1"/>
    <col min="23" max="23" width="9" style="5"/>
    <col min="24" max="16384" width="9" style="3"/>
  </cols>
  <sheetData>
    <row r="1" spans="1:23" ht="45.75" customHeight="1">
      <c r="A1" s="121" t="s">
        <v>0</v>
      </c>
      <c r="B1" s="121"/>
      <c r="C1" s="121"/>
      <c r="D1" s="121"/>
      <c r="R1" s="4"/>
      <c r="S1" s="121" t="s">
        <v>1</v>
      </c>
      <c r="T1" s="121"/>
      <c r="U1" s="121"/>
      <c r="V1" s="121"/>
      <c r="W1" s="5">
        <v>17</v>
      </c>
    </row>
    <row r="2" spans="1:23" ht="45" customHeight="1">
      <c r="A2" s="121" t="s">
        <v>2</v>
      </c>
      <c r="B2" s="121"/>
      <c r="C2" s="121"/>
      <c r="D2" s="121"/>
      <c r="R2" s="4"/>
      <c r="S2" s="121" t="s">
        <v>3</v>
      </c>
      <c r="T2" s="121"/>
      <c r="U2" s="121"/>
      <c r="V2" s="121"/>
      <c r="W2" s="5">
        <v>18</v>
      </c>
    </row>
    <row r="3" spans="1:23" ht="12.75" hidden="1" customHeight="1">
      <c r="A3" s="123"/>
      <c r="B3" s="123"/>
      <c r="C3" s="123"/>
      <c r="S3" s="29"/>
      <c r="T3" s="29"/>
      <c r="U3" s="29"/>
      <c r="V3" s="29"/>
    </row>
    <row r="4" spans="1:23" ht="30.75" customHeight="1">
      <c r="C4" s="7"/>
      <c r="D4" s="7"/>
      <c r="R4" s="8"/>
      <c r="S4" s="122">
        <f ca="1">NOW()</f>
        <v>40567.984414351849</v>
      </c>
      <c r="T4" s="122"/>
      <c r="U4" s="122"/>
      <c r="V4" s="122"/>
      <c r="W4" s="5">
        <v>19</v>
      </c>
    </row>
    <row r="5" spans="1:23" ht="40.5" customHeight="1">
      <c r="A5" s="9" t="s">
        <v>4</v>
      </c>
      <c r="B5" s="1">
        <v>18</v>
      </c>
      <c r="C5" s="118" t="str">
        <f>IF(B5=17,"31",IF(B5=18,"32",IF(B5=19,"33",IF(B5=20,"",IF(B5=21,"",IF(B5=37,"الاولى",IF(B5=38,"الثانية",IF(B5=39,"الثالثة",IF(B5=40,"الرابعة",IF(B5=41,"الخامسة",IF(B5=42,"السادسة",IF(B5=43,"السابعة",IF(B5=44,"الثامنة",IF(B5=45,"التاسعة",IF(B5=46,"العاشرة",IF(B5=47,"الحادية عشر",IF(B5=48,"الثانية عشر",IF(B5=49,"الثالثة عشر",IF(B5=50,"الرابعة عشر",IF(B5=51,"الخامسة عشر",IF(B5=61,"(  أ  )",IF(B5=62,"(  ب  )",IF(B5=63,"(  ج  )",IF(B5&gt;=64," ( د  )"))))))))))))))))))))))))</f>
        <v>32</v>
      </c>
      <c r="D5" s="118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1"/>
      <c r="R5" s="11"/>
      <c r="S5" s="119">
        <f ca="1">NOW()</f>
        <v>40567.984414351849</v>
      </c>
      <c r="T5" s="119"/>
      <c r="U5" s="119"/>
      <c r="V5" s="119"/>
      <c r="W5" s="5">
        <v>20</v>
      </c>
    </row>
    <row r="6" spans="1:23" ht="40.5" customHeight="1">
      <c r="A6" s="9" t="s">
        <v>5</v>
      </c>
      <c r="B6" s="12" t="str">
        <f>IF(B5=36,"110",IF(B5=17,"100",IF(B5=18,"135",IF(B5=19,"180",IF(B5=20,"180",IF(B5=21,"180",IF(B5=37,"135",IF(B5=38,"155",IF(B5=39,"185",IF(B5=40,"215",IF(B5=41,"250",IF(B5=42,"285",IF(B5=43,"330",IF(B5=44,"380",IF(B5=45,"420",IF(B5=46,"460",IF(B5=47,"485",IF(B5=48,"515",IF(B5=49,"535",IF(B5=50,"615",IF(B5=51,"760",IF(B5=61,"105",IF(B5=62,"140",IF(B5=63,"175",IF(B5=64,"210")))))))))))))))))))))))))</f>
        <v>135</v>
      </c>
      <c r="C6" s="118" t="str">
        <f>IF(B5=17,"بند المستخدمين",IF(B5=18,"بند المستخدمين",IF(B5=19,"بند المستخدمين",IF(B5=20,"بند المستخدمين",IF(B5=21,"بند المستخدمين",IF(B5=37,"الموظفين",IF(B5=38,"الموظفين",IF(B5=39,"الموظفين",IF(B5=40,"الموظفين",IF(B5=41,"الموظفين",IF(B5=42,"الموظفين",IF(B5=43,"الموظفين",IF(B5=44,"الموظفين",IF(B5=45,"الموظفين",IF(B5=46,"الموظفين",IF(B5=47,"الموظفين",IF(B5=48,"الموظفين",IF(B5=49,"الموظفين",IF(B5=50,"الموظفين",IF(B5=51,"الممتازه",IF(B5=61,"بند العمال",IF(B5=62,"بند العمال",IF(B5=63,"بند العمال",IF(B5&gt;=64,"بند العمال"))))))))))))))))))))))))</f>
        <v>بند المستخدمين</v>
      </c>
      <c r="D6" s="118"/>
      <c r="E6" s="133" t="str">
        <f>IF(B5=17,"بيان رواتب بند المستخدمين بمؤسسة البريد السعودي 1432هـ",IF(B5=18,"بيان رواتب بند المستخدمين بمؤسسة البريد السعودي 1432ه",IF(B5=19,"بيان رواتب بند المستخدمين بمؤسسة البريد السعودي 1432ه",IF(B5=20,"بيان رواتب بند المستخدمين بمؤسسة البريد السعودي 1432ه",IF(B5=21,"بيان رواتب بند المستخدمين بمؤسسة البريد السعودي 1432ه",IF(B5=37,"بيان رواتب موظفي مؤسسة البريد السعودي 1432ه",IF(B5=38,"بيان رواتب موظفي مؤسسة البريد السعودي 1432ه",IF(B5=39,"بيان رواتب موظفي مؤسسة البريد السعودي 1432ه",IF(B5=40,"بيان رواتب موظفي مؤسسة البريد السعودي 1432ه",IF(B5=41,"بيان رواتب موظفي مؤسسة البريد السعودي 1432ه",IF(B5=42,"بيان رواتب موظفي مؤسسة البريد السعودي 1432ه",IF(B5=43,"بيان رواتب موظفي مؤسسة البريد السعودي 1432ه",IF(B5=44,"بيان رواتب موظفي مؤسسة البريد السعودي 1432ه",IF(B5=45,"ببيان رواتب موظفي مؤسسة البريد السعودي 1432ه",IF(B5=46,"بيان رواتب موظفي مؤسسة البريد السعودي 1432ه",IF(B5=47,"بيان رواتب موظفي مؤسسة البريد السعودي 1432ه",IF(B5=48,"بيان رواتب موظفي مؤسسة البريد السعودي 1432ه",IF(B5=49,"بيان رواتب موظفي مؤسسة البريد السعودي 1432ه",IF(B5=50,"بيان رواتب موظفي مؤسسة البريد السعودي 1432ه",IF(B5=51,"بيان رواتب المرتبة الممتازه بمؤسسة البريد السعودي 1432ه",IF(B5=61,"بيان رواتب بند العمال بمؤسسة البريد السعودي 1432ه",IF(B5=62,"بيان برواتب بند العمال بمؤسسة البريد السعودي",IF(B5=63,"بيان رواتب بند العمال بمؤسسة البريد السعودي 1432ه",IF(B5&gt;=64,"بيان رواتب بند العمال بمؤسسة البريد السعودي 1432ه"))))))))))))))))))))))))</f>
        <v>بيان رواتب بند المستخدمين بمؤسسة البريد السعودي 1432ه</v>
      </c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20">
        <f ca="1">NOW()</f>
        <v>40567.984414351849</v>
      </c>
      <c r="T6" s="120"/>
      <c r="U6" s="120"/>
      <c r="V6" s="120"/>
      <c r="W6" s="5">
        <v>21</v>
      </c>
    </row>
    <row r="7" spans="1:23" ht="40.5" customHeight="1" thickBot="1">
      <c r="A7" s="137" t="s">
        <v>30</v>
      </c>
      <c r="B7" s="137"/>
      <c r="C7" s="137"/>
      <c r="D7" s="10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2">
        <f ca="1">NOW()</f>
        <v>40567.984414351849</v>
      </c>
      <c r="T7" s="132"/>
      <c r="U7" s="132"/>
      <c r="V7" s="132"/>
      <c r="W7" s="5">
        <v>36</v>
      </c>
    </row>
    <row r="8" spans="1:23" ht="40.5" customHeight="1" thickTop="1" thickBot="1">
      <c r="A8" s="135" t="s">
        <v>6</v>
      </c>
      <c r="B8" s="136"/>
      <c r="C8" s="13">
        <v>1</v>
      </c>
      <c r="D8" s="14">
        <v>2</v>
      </c>
      <c r="E8" s="14">
        <v>3</v>
      </c>
      <c r="F8" s="14">
        <v>4</v>
      </c>
      <c r="G8" s="14">
        <v>5</v>
      </c>
      <c r="H8" s="14">
        <v>6</v>
      </c>
      <c r="I8" s="14">
        <v>7</v>
      </c>
      <c r="J8" s="14">
        <v>8</v>
      </c>
      <c r="K8" s="14">
        <v>9</v>
      </c>
      <c r="L8" s="14">
        <v>10</v>
      </c>
      <c r="M8" s="14">
        <v>11</v>
      </c>
      <c r="N8" s="14">
        <v>12</v>
      </c>
      <c r="O8" s="14">
        <f>IF(B5&lt;=50,13,IF(B5&gt;=60,13,IF(B5&gt;=48,"")))</f>
        <v>13</v>
      </c>
      <c r="P8" s="14">
        <f>IF(B5&lt;=49,14,IF(B5&gt;=60,14,IF(B5&gt;=48,"")))</f>
        <v>14</v>
      </c>
      <c r="Q8" s="14">
        <f>IF(B5&lt;=48,15,IF(B5&gt;=60,15,IF(B5&gt;=48,"")))</f>
        <v>15</v>
      </c>
      <c r="R8" s="14">
        <f>IF(B5&lt;48,16,"")</f>
        <v>16</v>
      </c>
      <c r="S8" s="14" t="str">
        <f>IF(B5&gt;=47,"","17 ")</f>
        <v xml:space="preserve">17 </v>
      </c>
      <c r="T8" s="14">
        <f>IF(B5&lt;20,18,"")</f>
        <v>18</v>
      </c>
      <c r="U8" s="14">
        <f>IF(B5&lt;19,19,"")</f>
        <v>19</v>
      </c>
      <c r="V8" s="30">
        <f>IF(B5&lt;19,20,"")</f>
        <v>20</v>
      </c>
      <c r="W8" s="5">
        <v>37</v>
      </c>
    </row>
    <row r="9" spans="1:23" ht="40.5" customHeight="1" thickTop="1">
      <c r="A9" s="130" t="s">
        <v>7</v>
      </c>
      <c r="B9" s="131"/>
      <c r="C9" s="15" t="str">
        <f>IF(B5&lt;=17,"1430",IF(B5=18,"1815",IF(B5=19,"2620",IF(B5=20,"3295",IF(B5=21,"3975",IF(B5=37,"2195",IF(B5=38,"2680",IF(B5=39,"3125",IF(B5=40,"3585",IF(B5=41,"4230",IF(B5=42,"4970",IF(B5=43,"5835",IF(B5=44,"6755",IF(B5=45,"7890",IF(B5=46,"8800",IF(B5=47,"10155",IF(B5=48,"11575",IF(B5=49,"13125",IF(B5=50,"14200",IF(B5=51,"17595",IF(B5=61,"1485",IF(B5=62,"1970",IF(B5=63,"2600",IF(B5&gt;=64,"3355"))))))))))))))))))))))))</f>
        <v>1815</v>
      </c>
      <c r="D9" s="16">
        <f>C9+B6</f>
        <v>1950</v>
      </c>
      <c r="E9" s="16">
        <f>D9+B6</f>
        <v>2085</v>
      </c>
      <c r="F9" s="16">
        <f>E9+B6</f>
        <v>2220</v>
      </c>
      <c r="G9" s="16">
        <f>F9+B6</f>
        <v>2355</v>
      </c>
      <c r="H9" s="16">
        <f>G9+B6</f>
        <v>2490</v>
      </c>
      <c r="I9" s="16">
        <f>H9+B6</f>
        <v>2625</v>
      </c>
      <c r="J9" s="16">
        <f>I9+B6</f>
        <v>2760</v>
      </c>
      <c r="K9" s="16">
        <f>J9+B6</f>
        <v>2895</v>
      </c>
      <c r="L9" s="16">
        <f>K9+B6</f>
        <v>3030</v>
      </c>
      <c r="M9" s="16">
        <f>L9+B6</f>
        <v>3165</v>
      </c>
      <c r="N9" s="16">
        <f>M9+B6</f>
        <v>3300</v>
      </c>
      <c r="O9" s="16">
        <f>IF(B5&lt;=50,N9+B6,IF(B5&gt;=60,N9+B6,IF(B5&gt;=48,"")))</f>
        <v>3435</v>
      </c>
      <c r="P9" s="16">
        <f>IF(B5&lt;=49,O9+B6,IF(B5&gt;=60,O9+B6,IF(B5&gt;=48,"")))</f>
        <v>3570</v>
      </c>
      <c r="Q9" s="16">
        <f>IF(B5&lt;=48,P9+B6,IF(B5&gt;=60,P9+B6,IF(B5&gt;=48,"")))</f>
        <v>3705</v>
      </c>
      <c r="R9" s="16">
        <f>IF(B5&lt;48,Q9+B6,"")</f>
        <v>3840</v>
      </c>
      <c r="S9" s="16">
        <f>IF(B5&lt;47,R9+B6,"")</f>
        <v>3975</v>
      </c>
      <c r="T9" s="16">
        <f>IF(B5&lt;20,S9+B6,"")</f>
        <v>4110</v>
      </c>
      <c r="U9" s="16">
        <f>IF(B5&lt;19,T9+B6,"")</f>
        <v>4245</v>
      </c>
      <c r="V9" s="17">
        <f>IF(B5&lt;19,U9+B6,"")</f>
        <v>4380</v>
      </c>
      <c r="W9" s="5">
        <v>38</v>
      </c>
    </row>
    <row r="10" spans="1:23" ht="40.5" customHeight="1">
      <c r="A10" s="18" t="s">
        <v>8</v>
      </c>
      <c r="B10" s="2">
        <v>0.15</v>
      </c>
      <c r="C10" s="19">
        <f>C9*B10</f>
        <v>272.25</v>
      </c>
      <c r="D10" s="20">
        <f>D9*B10</f>
        <v>292.5</v>
      </c>
      <c r="E10" s="20">
        <f>E9*B10</f>
        <v>312.75</v>
      </c>
      <c r="F10" s="20">
        <f>F9*B10</f>
        <v>333</v>
      </c>
      <c r="G10" s="20">
        <f>G9*B10</f>
        <v>353.25</v>
      </c>
      <c r="H10" s="20">
        <f>H9*B10</f>
        <v>373.5</v>
      </c>
      <c r="I10" s="20">
        <f>I9*B10</f>
        <v>393.75</v>
      </c>
      <c r="J10" s="20">
        <f>J9*B10</f>
        <v>414</v>
      </c>
      <c r="K10" s="20">
        <f>K9*B10</f>
        <v>434.25</v>
      </c>
      <c r="L10" s="20">
        <f>L9*B10</f>
        <v>454.5</v>
      </c>
      <c r="M10" s="20">
        <f>M9*B10</f>
        <v>474.75</v>
      </c>
      <c r="N10" s="20">
        <f>N9*B10</f>
        <v>495</v>
      </c>
      <c r="O10" s="20">
        <f>IF(B5&lt;=50,O9*B10,IF(B5&gt;=60,O9*B10,IF(B5&gt;=48,"")))</f>
        <v>515.25</v>
      </c>
      <c r="P10" s="20">
        <f>IF(B5&lt;=49,P9*B10,IF(B5&gt;=60,P9*B10,IF(B5&gt;=48,"")))</f>
        <v>535.5</v>
      </c>
      <c r="Q10" s="20">
        <f>IF(B5&lt;=48,Q9*B10,IF(B5&gt;=60,Q9*B10,IF(B5&gt;=48,"")))</f>
        <v>555.75</v>
      </c>
      <c r="R10" s="20">
        <f>IF(B5&lt;48,R9*B10,"")</f>
        <v>576</v>
      </c>
      <c r="S10" s="20">
        <f>IF(B5&lt;47,S9*B10,"")</f>
        <v>596.25</v>
      </c>
      <c r="T10" s="20">
        <f>IF(B5&lt;20,T9*B10,"")</f>
        <v>616.5</v>
      </c>
      <c r="U10" s="20">
        <f>IF(B5&lt;19,U9*B10,"")</f>
        <v>636.75</v>
      </c>
      <c r="V10" s="21">
        <f>IF(B5&lt;19,V9*B10,"")</f>
        <v>657</v>
      </c>
      <c r="W10" s="5">
        <v>39</v>
      </c>
    </row>
    <row r="11" spans="1:23" ht="40.5" customHeight="1">
      <c r="A11" s="18" t="s">
        <v>9</v>
      </c>
      <c r="B11" s="39">
        <v>0</v>
      </c>
      <c r="C11" s="19">
        <f>C9*B11</f>
        <v>0</v>
      </c>
      <c r="D11" s="20">
        <f>D9*B11</f>
        <v>0</v>
      </c>
      <c r="E11" s="20">
        <f>E9*B11</f>
        <v>0</v>
      </c>
      <c r="F11" s="20">
        <f>F9*B11</f>
        <v>0</v>
      </c>
      <c r="G11" s="20">
        <f>G9*B11</f>
        <v>0</v>
      </c>
      <c r="H11" s="20">
        <f>H9*B11</f>
        <v>0</v>
      </c>
      <c r="I11" s="20">
        <f>I9*B11</f>
        <v>0</v>
      </c>
      <c r="J11" s="20">
        <f>J9*B11</f>
        <v>0</v>
      </c>
      <c r="K11" s="20">
        <f>K9*B11</f>
        <v>0</v>
      </c>
      <c r="L11" s="20">
        <f>L9*B11</f>
        <v>0</v>
      </c>
      <c r="M11" s="20">
        <f>M9*B11</f>
        <v>0</v>
      </c>
      <c r="N11" s="20">
        <f>N9*B11</f>
        <v>0</v>
      </c>
      <c r="O11" s="20">
        <f>IF(B5&lt;=50,O9*B11,IF(B5&gt;=60,O9*B11,IF(B5&gt;=48,"")))</f>
        <v>0</v>
      </c>
      <c r="P11" s="20">
        <f>IF(B5&lt;=49,P9*B11,IF(B5&gt;=60,P9*B11,IF(B5&gt;=48,"")))</f>
        <v>0</v>
      </c>
      <c r="Q11" s="20">
        <f>IF(B5&lt;=48,Q9*B11,IF(B5&gt;=60,Q9*B11,IF(B5&gt;=48,"")))</f>
        <v>0</v>
      </c>
      <c r="R11" s="20">
        <f>IF(B5&lt;48,R9*B11,"")</f>
        <v>0</v>
      </c>
      <c r="S11" s="20">
        <f>IF(B5&lt;47,S9*B11,"")</f>
        <v>0</v>
      </c>
      <c r="T11" s="20">
        <f>IF(B5&lt;20,T9*B11,"")</f>
        <v>0</v>
      </c>
      <c r="U11" s="20">
        <f>IF(B5&lt;19,U9*B11,"")</f>
        <v>0</v>
      </c>
      <c r="V11" s="21">
        <f>IF(B5&lt;19,V9*B11,"")</f>
        <v>0</v>
      </c>
      <c r="W11" s="5">
        <v>40</v>
      </c>
    </row>
    <row r="12" spans="1:23" ht="40.5" customHeight="1">
      <c r="A12" s="18" t="s">
        <v>10</v>
      </c>
      <c r="B12" s="22" t="str">
        <f>IF(B5&lt;=41,"400",IF(B5&gt;=42,"600"))</f>
        <v>400</v>
      </c>
      <c r="C12" s="19" t="str">
        <f>B12</f>
        <v>400</v>
      </c>
      <c r="D12" s="20" t="str">
        <f>B12</f>
        <v>400</v>
      </c>
      <c r="E12" s="20" t="str">
        <f>B12</f>
        <v>400</v>
      </c>
      <c r="F12" s="20" t="str">
        <f>B12</f>
        <v>400</v>
      </c>
      <c r="G12" s="20" t="str">
        <f>B12</f>
        <v>400</v>
      </c>
      <c r="H12" s="20" t="str">
        <f>B12</f>
        <v>400</v>
      </c>
      <c r="I12" s="20" t="str">
        <f>B12</f>
        <v>400</v>
      </c>
      <c r="J12" s="20" t="str">
        <f>B12</f>
        <v>400</v>
      </c>
      <c r="K12" s="20" t="str">
        <f>B12</f>
        <v>400</v>
      </c>
      <c r="L12" s="20" t="str">
        <f>B12</f>
        <v>400</v>
      </c>
      <c r="M12" s="20" t="str">
        <f>B12</f>
        <v>400</v>
      </c>
      <c r="N12" s="20" t="str">
        <f>B12</f>
        <v>400</v>
      </c>
      <c r="O12" s="20" t="str">
        <f>IF(B5&lt;=50,B12,IF(B5&gt;=60,B12,IF(B5&gt;=48,"")))</f>
        <v>400</v>
      </c>
      <c r="P12" s="20" t="str">
        <f>IF(B5&lt;=49,B12,IF(B5&gt;=60,B12,IF(B5&gt;=48,"")))</f>
        <v>400</v>
      </c>
      <c r="Q12" s="20" t="str">
        <f>IF(B5&lt;=48,B12,IF(B5&gt;=60,B12,IF(B5&gt;=48,"")))</f>
        <v>400</v>
      </c>
      <c r="R12" s="20" t="str">
        <f>IF(B5&lt;48,B12,"")</f>
        <v>400</v>
      </c>
      <c r="S12" s="20" t="str">
        <f>IF(B5&lt;47,B12,"")</f>
        <v>400</v>
      </c>
      <c r="T12" s="20" t="str">
        <f>IF(B5&lt;20,B12,"")</f>
        <v>400</v>
      </c>
      <c r="U12" s="20" t="str">
        <f>IF(B5&lt;19,B12,"")</f>
        <v>400</v>
      </c>
      <c r="V12" s="21" t="str">
        <f>IF(B5&lt;19,B12,"")</f>
        <v>400</v>
      </c>
      <c r="W12" s="5">
        <v>41</v>
      </c>
    </row>
    <row r="13" spans="1:23" ht="40.5" customHeight="1">
      <c r="A13" s="18" t="s">
        <v>11</v>
      </c>
      <c r="B13" s="2">
        <v>-0.09</v>
      </c>
      <c r="C13" s="19">
        <f>C9*B13</f>
        <v>-163.35</v>
      </c>
      <c r="D13" s="20">
        <f>D9*B13</f>
        <v>-175.5</v>
      </c>
      <c r="E13" s="20">
        <f>E9*B13</f>
        <v>-187.65</v>
      </c>
      <c r="F13" s="20">
        <f>F9*B13</f>
        <v>-199.79999999999998</v>
      </c>
      <c r="G13" s="20">
        <f>G9*B13</f>
        <v>-211.95</v>
      </c>
      <c r="H13" s="20">
        <f>H9*B13</f>
        <v>-224.1</v>
      </c>
      <c r="I13" s="20">
        <f>I9*B13</f>
        <v>-236.25</v>
      </c>
      <c r="J13" s="20">
        <f>J9*B13</f>
        <v>-248.39999999999998</v>
      </c>
      <c r="K13" s="20">
        <f>K9*B13</f>
        <v>-260.55</v>
      </c>
      <c r="L13" s="20">
        <f>L9*B13</f>
        <v>-272.7</v>
      </c>
      <c r="M13" s="20">
        <f>M9*B13</f>
        <v>-284.84999999999997</v>
      </c>
      <c r="N13" s="20">
        <f>N9*B13</f>
        <v>-297</v>
      </c>
      <c r="O13" s="20">
        <f>IF(B5&lt;=50,O9*B13,IF(B5&gt;=60,O9*B13,IF(B5&gt;=48,"")))</f>
        <v>-309.14999999999998</v>
      </c>
      <c r="P13" s="20">
        <f>IF(B5&lt;=49,P9*B13,IF(B5&gt;=60,P9*B13,IF(B5&gt;=48,"")))</f>
        <v>-321.3</v>
      </c>
      <c r="Q13" s="20">
        <f>IF(B5&lt;=48,Q9*B13,IF(B5&gt;=60,Q9*B13,IF(B5&gt;=48,"")))</f>
        <v>-333.45</v>
      </c>
      <c r="R13" s="20">
        <f>IF(B5&lt;48,R9*B13,"")</f>
        <v>-345.59999999999997</v>
      </c>
      <c r="S13" s="20">
        <f>IF(B5&lt;47,S9*B13,"")</f>
        <v>-357.75</v>
      </c>
      <c r="T13" s="20">
        <f>IF(B5&lt;20,T9*B13,"")</f>
        <v>-369.9</v>
      </c>
      <c r="U13" s="20">
        <f>IF(B5&lt;19,U9*B13,"")</f>
        <v>-382.05</v>
      </c>
      <c r="V13" s="21">
        <f>IF(B5&lt;19,V9*B13,"")</f>
        <v>-394.2</v>
      </c>
      <c r="W13" s="5">
        <v>42</v>
      </c>
    </row>
    <row r="14" spans="1:23" ht="40.5" customHeight="1">
      <c r="A14" s="18" t="s">
        <v>12</v>
      </c>
      <c r="B14" s="2">
        <v>0.2</v>
      </c>
      <c r="C14" s="19">
        <f>C9*B14</f>
        <v>363</v>
      </c>
      <c r="D14" s="20">
        <f>D9*B14</f>
        <v>390</v>
      </c>
      <c r="E14" s="20">
        <f>E9*B14</f>
        <v>417</v>
      </c>
      <c r="F14" s="20">
        <f>F9*B14</f>
        <v>444</v>
      </c>
      <c r="G14" s="20">
        <f>G9*B14</f>
        <v>471</v>
      </c>
      <c r="H14" s="20">
        <f>H9*B14</f>
        <v>498</v>
      </c>
      <c r="I14" s="20">
        <f>I9*B14</f>
        <v>525</v>
      </c>
      <c r="J14" s="20">
        <f>J9*B14</f>
        <v>552</v>
      </c>
      <c r="K14" s="20">
        <f>K9*B14</f>
        <v>579</v>
      </c>
      <c r="L14" s="20">
        <f>L9*B14</f>
        <v>606</v>
      </c>
      <c r="M14" s="20">
        <f>M9*B14</f>
        <v>633</v>
      </c>
      <c r="N14" s="20">
        <f>N9*B14</f>
        <v>660</v>
      </c>
      <c r="O14" s="20">
        <f>IF(B5&lt;=50,O9*B14,IF(B5&gt;=60,O9*B14,IF(B5&gt;=48,"")))</f>
        <v>687</v>
      </c>
      <c r="P14" s="20">
        <f>IF(B5&lt;=49,P9*B14,IF(B5&gt;=60,P9*B14,IF(B5&gt;=48,"")))</f>
        <v>714</v>
      </c>
      <c r="Q14" s="20">
        <f>IF(B5&lt;=48,Q9*B14,IF(B5&gt;=60,Q9*B14,IF(B5&gt;=48,"")))</f>
        <v>741</v>
      </c>
      <c r="R14" s="20">
        <f>IF(B5&lt;48,R9*B14,"")</f>
        <v>768</v>
      </c>
      <c r="S14" s="20">
        <f>IF(B5&lt;47,S9*B14,"")</f>
        <v>795</v>
      </c>
      <c r="T14" s="20">
        <f>IF(B5&lt;20,T9*B14,"")</f>
        <v>822</v>
      </c>
      <c r="U14" s="20">
        <f>IF(B5&lt;19,U9*B14,"")</f>
        <v>849</v>
      </c>
      <c r="V14" s="21">
        <f>IF(B5&lt;19,V9*B14,"")</f>
        <v>876</v>
      </c>
      <c r="W14" s="5">
        <v>43</v>
      </c>
    </row>
    <row r="15" spans="1:23" ht="40.5" customHeight="1">
      <c r="A15" s="18" t="s">
        <v>16</v>
      </c>
      <c r="B15" s="40"/>
      <c r="C15" s="19" t="str">
        <f>IF(B15=0,"0",C9*B15)</f>
        <v>0</v>
      </c>
      <c r="D15" s="20">
        <f>IF(C15=0,"0",D9*B15)</f>
        <v>0</v>
      </c>
      <c r="E15" s="20" t="str">
        <f>IF(D15=0,"0",E9*B15)</f>
        <v>0</v>
      </c>
      <c r="F15" s="20">
        <f>IF(E15=0,"0",F9*B15)</f>
        <v>0</v>
      </c>
      <c r="G15" s="20" t="str">
        <f>IF(F15=0,"0",G9*B15)</f>
        <v>0</v>
      </c>
      <c r="H15" s="20">
        <f>IF(G15=0,"0",H9*B15)</f>
        <v>0</v>
      </c>
      <c r="I15" s="20" t="str">
        <f>IF(H15=0,"0",I9*B15)</f>
        <v>0</v>
      </c>
      <c r="J15" s="20">
        <f>IF(I15=0,"0",J9*B15)</f>
        <v>0</v>
      </c>
      <c r="K15" s="20" t="str">
        <f>IF(J15=0,"0",K9*B15)</f>
        <v>0</v>
      </c>
      <c r="L15" s="20">
        <f>IF(K15=0,"0",L9*B15)</f>
        <v>0</v>
      </c>
      <c r="M15" s="20" t="str">
        <f>IF(L15=0,"0",M9*B15)</f>
        <v>0</v>
      </c>
      <c r="N15" s="20">
        <f>IF(M15=0,"",N9*B15)</f>
        <v>0</v>
      </c>
      <c r="O15" s="20">
        <f>IF(B5&lt;=50,O9*B15,IF(B5&gt;=60,O9*B15,IF(B5&gt;=48,"")))</f>
        <v>0</v>
      </c>
      <c r="P15" s="20">
        <f>IF(B5&lt;=49,P9*B15,IF(B5&gt;=60,P9*B15,IF(B5&gt;=48,"")))</f>
        <v>0</v>
      </c>
      <c r="Q15" s="20">
        <f>IF(B5&lt;=48,Q9*B15,IF(B5&gt;=60,Q9*B15,IF(B5&gt;=48,"")))</f>
        <v>0</v>
      </c>
      <c r="R15" s="20">
        <f>IF(B5&lt;48,R9*B15,"")</f>
        <v>0</v>
      </c>
      <c r="S15" s="20">
        <f>IF(B5&lt;47,S9*B15,"")</f>
        <v>0</v>
      </c>
      <c r="T15" s="20">
        <f>IF(B5&lt;20,T9*B15,"")</f>
        <v>0</v>
      </c>
      <c r="U15" s="20">
        <f>IF(B5&lt;19,U9*B15,"")</f>
        <v>0</v>
      </c>
      <c r="V15" s="21">
        <f>IF(B5&lt;19,V9*B15,"")</f>
        <v>0</v>
      </c>
      <c r="W15" s="5">
        <v>44</v>
      </c>
    </row>
    <row r="16" spans="1:23" ht="40.5" customHeight="1" thickBot="1">
      <c r="A16" s="31" t="s">
        <v>13</v>
      </c>
      <c r="B16" s="32">
        <v>2</v>
      </c>
      <c r="C16" s="33">
        <f>C9*B16</f>
        <v>3630</v>
      </c>
      <c r="D16" s="34">
        <f>D9*B16</f>
        <v>3900</v>
      </c>
      <c r="E16" s="34">
        <f>E9*B16</f>
        <v>4170</v>
      </c>
      <c r="F16" s="34">
        <f>F9*B16</f>
        <v>4440</v>
      </c>
      <c r="G16" s="34">
        <f>G9*B16</f>
        <v>4710</v>
      </c>
      <c r="H16" s="34">
        <f>H9*B16</f>
        <v>4980</v>
      </c>
      <c r="I16" s="34">
        <f>I9*B16</f>
        <v>5250</v>
      </c>
      <c r="J16" s="34">
        <f>J9*B16</f>
        <v>5520</v>
      </c>
      <c r="K16" s="34">
        <f>K9*B16</f>
        <v>5790</v>
      </c>
      <c r="L16" s="34">
        <f>L9*B16</f>
        <v>6060</v>
      </c>
      <c r="M16" s="34">
        <f>M9*B16</f>
        <v>6330</v>
      </c>
      <c r="N16" s="34">
        <f>N9*B16</f>
        <v>6600</v>
      </c>
      <c r="O16" s="34">
        <f>IF(B5&lt;=50,O9*B16,IF(B5&gt;=60,O9*B16,IF(B5&gt;=48,"")))</f>
        <v>6870</v>
      </c>
      <c r="P16" s="34">
        <f>IF(B5&lt;=49,P9*B16,IF(B5&gt;=60,P9*B16,IF(B5&gt;=48,"")))</f>
        <v>7140</v>
      </c>
      <c r="Q16" s="34">
        <f>IF(B5&lt;=48,Q9*B16,IF(B5&gt;=60,Q9*B16,IF(B5&gt;=48,"")))</f>
        <v>7410</v>
      </c>
      <c r="R16" s="34">
        <f>IF(B5&lt;48,R9*B16,"")</f>
        <v>7680</v>
      </c>
      <c r="S16" s="34">
        <f>IF(B5&lt;47,S9*B16,"")</f>
        <v>7950</v>
      </c>
      <c r="T16" s="34">
        <f>IF(B5&lt;20,T9*B16,"")</f>
        <v>8220</v>
      </c>
      <c r="U16" s="34">
        <f>IF(B5&lt;19,U9*B16,"")</f>
        <v>8490</v>
      </c>
      <c r="V16" s="35">
        <f>IF(B5&lt;19,V9*B16,"")</f>
        <v>8760</v>
      </c>
      <c r="W16" s="5">
        <v>45</v>
      </c>
    </row>
    <row r="17" spans="1:23" ht="40.5" customHeight="1" thickTop="1">
      <c r="A17" s="128" t="s">
        <v>14</v>
      </c>
      <c r="B17" s="129"/>
      <c r="C17" s="36" t="str">
        <f>IF(B15=0,"",(C15/12)+C18)</f>
        <v/>
      </c>
      <c r="D17" s="37" t="str">
        <f>IF(B15=0,"",(D15/12)+D18)</f>
        <v/>
      </c>
      <c r="E17" s="37" t="str">
        <f>IF(B15=0,"",(E15/12)+E18)</f>
        <v/>
      </c>
      <c r="F17" s="37" t="str">
        <f>IF(B15=0,"",(F15/12)+F18)</f>
        <v/>
      </c>
      <c r="G17" s="37" t="str">
        <f>IF(B15=0,"",(G15/12)+G18)</f>
        <v/>
      </c>
      <c r="H17" s="37" t="str">
        <f>IF(B15=0,"",(H15/12)+H18)</f>
        <v/>
      </c>
      <c r="I17" s="37" t="str">
        <f>IF(B15=0,"",(I15/12)+I18)</f>
        <v/>
      </c>
      <c r="J17" s="37" t="str">
        <f>IF(B15=0,"",(J15/12)+J18)</f>
        <v/>
      </c>
      <c r="K17" s="37" t="str">
        <f>IF(B15=0,"",(K15/12)+K18)</f>
        <v/>
      </c>
      <c r="L17" s="37" t="str">
        <f>IF(B15=0,"",(L15/12)+L18)</f>
        <v/>
      </c>
      <c r="M17" s="37" t="str">
        <f>IF(B15=0,"",(M15/12)+M18)</f>
        <v/>
      </c>
      <c r="N17" s="37" t="str">
        <f>IF(B15=0,"",(N15/12)+N18)</f>
        <v/>
      </c>
      <c r="O17" s="37" t="str">
        <f>IF(B15&gt;0,O15/12+O18,"")</f>
        <v/>
      </c>
      <c r="P17" s="37" t="str">
        <f>IF(B15&gt;0,P15/12+P18,"")</f>
        <v/>
      </c>
      <c r="Q17" s="37" t="str">
        <f>IF(B15&gt;0,Q15/12+Q18,"")</f>
        <v/>
      </c>
      <c r="R17" s="37" t="str">
        <f>IF(B15&gt;0,(R15/12)+R18,"")</f>
        <v/>
      </c>
      <c r="S17" s="37" t="str">
        <f>IF(B15&gt;0,(S15/12)+S18,"")</f>
        <v/>
      </c>
      <c r="T17" s="37" t="str">
        <f>IF(B15&gt;0,(T15/12)+T18,"")</f>
        <v/>
      </c>
      <c r="U17" s="37" t="str">
        <f>IF(B15&gt;0,(U15/12)+U18,"")</f>
        <v/>
      </c>
      <c r="V17" s="38" t="str">
        <f>IF(B15&gt;0,(V15/12)+V18,"")</f>
        <v/>
      </c>
      <c r="W17" s="5">
        <v>46</v>
      </c>
    </row>
    <row r="18" spans="1:23" ht="40.5" customHeight="1" thickBot="1">
      <c r="A18" s="126" t="s">
        <v>15</v>
      </c>
      <c r="B18" s="127"/>
      <c r="C18" s="23">
        <f>C9+C10+C11+C12+C13+C14</f>
        <v>2686.9</v>
      </c>
      <c r="D18" s="24">
        <f t="shared" ref="D18:N18" si="0">D9+D10+D11+D12+D13+D14</f>
        <v>2857</v>
      </c>
      <c r="E18" s="24">
        <f t="shared" si="0"/>
        <v>3027.1</v>
      </c>
      <c r="F18" s="24">
        <f t="shared" si="0"/>
        <v>3197.2</v>
      </c>
      <c r="G18" s="24">
        <f t="shared" si="0"/>
        <v>3367.3</v>
      </c>
      <c r="H18" s="24">
        <f t="shared" si="0"/>
        <v>3537.4</v>
      </c>
      <c r="I18" s="24">
        <f t="shared" si="0"/>
        <v>3707.5</v>
      </c>
      <c r="J18" s="24">
        <f t="shared" si="0"/>
        <v>3877.6</v>
      </c>
      <c r="K18" s="24">
        <f t="shared" si="0"/>
        <v>4047.7</v>
      </c>
      <c r="L18" s="24">
        <f t="shared" si="0"/>
        <v>4217.8</v>
      </c>
      <c r="M18" s="24">
        <f t="shared" si="0"/>
        <v>4387.8999999999996</v>
      </c>
      <c r="N18" s="24">
        <f t="shared" si="0"/>
        <v>4558</v>
      </c>
      <c r="O18" s="24">
        <f>IF(B5&lt;=50,O9+O10+O11+O12+O13+O14,IF(B5&gt;=60,O9+O10+O11+O12+O13+O14,IF(B5&gt;=48,"")))</f>
        <v>4728.1000000000004</v>
      </c>
      <c r="P18" s="24">
        <f>IF(B5&lt;=49,P9+P10+P11+P12+P13+P14,IF(B5&gt;=60,P9+P10+P11+P12+P13+P14,IF(B5&gt;=48,"")))</f>
        <v>4898.2</v>
      </c>
      <c r="Q18" s="24">
        <f>IF(B5&lt;=48,Q9+Q10+Q11+Q12+Q13+Q14,IF(B5&gt;=60,Q9+Q10+Q11+Q12+Q13+Q14,IF(B5&gt;=48,"")))</f>
        <v>5068.3</v>
      </c>
      <c r="R18" s="24">
        <f>IF(B5&lt;48,R9+R10+R11+R12+R13+R14,"")</f>
        <v>5238.3999999999996</v>
      </c>
      <c r="S18" s="24">
        <f>IF(B5&lt;47,S9+S10+S11+S12+S13+S14,"")</f>
        <v>5408.5</v>
      </c>
      <c r="T18" s="24">
        <f>IF(B5&lt;20,T9+T10+T11+T12+T13+T14,"")</f>
        <v>5578.6</v>
      </c>
      <c r="U18" s="24">
        <f>IF(B5&lt;19,U9+U10+U11+U12+U13+U14,"")</f>
        <v>5748.7</v>
      </c>
      <c r="V18" s="25">
        <f>IF(B5&lt;19,V9+V10+V11+V12+V13+V14,"")</f>
        <v>5918.8</v>
      </c>
      <c r="W18" s="5">
        <v>47</v>
      </c>
    </row>
    <row r="19" spans="1:23" s="28" customFormat="1" ht="40.5" customHeight="1" thickTop="1">
      <c r="A19" s="124" t="s">
        <v>17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5">
        <v>48</v>
      </c>
    </row>
    <row r="20" spans="1:23" s="28" customFormat="1" ht="40.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W20" s="5">
        <v>49</v>
      </c>
    </row>
    <row r="21" spans="1:23" s="28" customFormat="1" ht="40.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W21" s="5">
        <v>50</v>
      </c>
    </row>
    <row r="22" spans="1:23" s="28" customForma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W22" s="5">
        <v>51</v>
      </c>
    </row>
    <row r="23" spans="1:23">
      <c r="W23" s="5">
        <v>61</v>
      </c>
    </row>
    <row r="24" spans="1:23">
      <c r="W24" s="5">
        <v>62</v>
      </c>
    </row>
    <row r="25" spans="1:23">
      <c r="W25" s="5">
        <v>63</v>
      </c>
    </row>
    <row r="26" spans="1:23">
      <c r="W26" s="5">
        <v>64</v>
      </c>
    </row>
  </sheetData>
  <sheetProtection password="CCDF" sheet="1" objects="1" scenarios="1"/>
  <protectedRanges>
    <protectedRange password="CAE1" sqref="B16" name="مكافأت رمضان"/>
    <protectedRange password="DD06" sqref="B14" name="علاوة"/>
    <protectedRange password="8E16" sqref="B13" name="التقاعد"/>
  </protectedRanges>
  <mergeCells count="18">
    <mergeCell ref="A19:V19"/>
    <mergeCell ref="A18:B18"/>
    <mergeCell ref="A17:B17"/>
    <mergeCell ref="A9:B9"/>
    <mergeCell ref="S7:V7"/>
    <mergeCell ref="E6:R7"/>
    <mergeCell ref="C6:D6"/>
    <mergeCell ref="A8:B8"/>
    <mergeCell ref="A7:C7"/>
    <mergeCell ref="C5:D5"/>
    <mergeCell ref="S5:V5"/>
    <mergeCell ref="S6:V6"/>
    <mergeCell ref="S1:V1"/>
    <mergeCell ref="S2:V2"/>
    <mergeCell ref="S4:V4"/>
    <mergeCell ref="A1:D1"/>
    <mergeCell ref="A2:D2"/>
    <mergeCell ref="A3:C3"/>
  </mergeCells>
  <conditionalFormatting sqref="C9:V14 C16:V18">
    <cfRule type="cellIs" dxfId="2" priority="3" operator="greaterThan">
      <formula>0</formula>
    </cfRule>
    <cfRule type="cellIs" dxfId="1" priority="2" operator="lessThan">
      <formula>0</formula>
    </cfRule>
  </conditionalFormatting>
  <conditionalFormatting sqref="C15:V15">
    <cfRule type="cellIs" dxfId="0" priority="1" operator="greaterThan">
      <formula>0</formula>
    </cfRule>
  </conditionalFormatting>
  <dataValidations count="1">
    <dataValidation type="list" errorStyle="information" showDropDown="1" showInputMessage="1" showErrorMessage="1" errorTitle="مراتب موظفي مؤسسة البريد السعودي" error="الموظفين_x000a_من 36  حتى 51_x000a__x000a_المستخدمين_x000a_من 17  حتى 21_x000a__x000a_بند العمال_x000a_من 61  حتى 64" promptTitle="ادخل المرتبة حسب التالي" prompt="    الموظفين_x000a_من 36  حتى 51_x000a__x000a_   المستخدمين_x000a_من 17  حتى 21_x000a__x000a_    بند الاجور_x000a_من 61  حتى 64" sqref="B5">
      <formula1>$W$1:$W$26</formula1>
    </dataValidation>
  </dataValidations>
  <hyperlinks>
    <hyperlink ref="A19" r:id="rId1"/>
    <hyperlink ref="A7:C7" location="'الفروقات لموظفي البريد السوعودي'!A1" display="الانتقال الى الفروقات"/>
  </hyperlink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50" orientation="landscape" blackAndWhite="1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2</vt:i4>
      </vt:variant>
      <vt:variant>
        <vt:lpstr>نطاقات تمت تسميتها</vt:lpstr>
      </vt:variant>
      <vt:variant>
        <vt:i4>5</vt:i4>
      </vt:variant>
    </vt:vector>
  </HeadingPairs>
  <TitlesOfParts>
    <vt:vector size="7" baseType="lpstr">
      <vt:lpstr>الفروقات لموظفي البريد السوعودي</vt:lpstr>
      <vt:lpstr>سلم رواتب موظفي ومستخدمي وعمال </vt:lpstr>
      <vt:lpstr>'الفروقات لموظفي البريد السوعودي'!Print_Area</vt:lpstr>
      <vt:lpstr>'سلم رواتب موظفي ومستخدمي وعمال '!Print_Area</vt:lpstr>
      <vt:lpstr>الانتقال_الى_الرواتب</vt:lpstr>
      <vt:lpstr>'الفروقات لموظفي البريد السوعودي'!تصميم_عيسى_ابراهيم_الملاح</vt:lpstr>
      <vt:lpstr>تصميم_عيسى_ابراهيم_الملاح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eissa1391</dc:creator>
  <cp:lastModifiedBy>eissa1391</cp:lastModifiedBy>
  <cp:lastPrinted>2011-01-15T22:13:12Z</cp:lastPrinted>
  <dcterms:created xsi:type="dcterms:W3CDTF">2010-12-10T21:14:50Z</dcterms:created>
  <dcterms:modified xsi:type="dcterms:W3CDTF">2011-01-24T20:41:34Z</dcterms:modified>
</cp:coreProperties>
</file>